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0" yWindow="65386" windowWidth="10485" windowHeight="12300" activeTab="1"/>
  </bookViews>
  <sheets>
    <sheet name="Beschreibung" sheetId="1" r:id="rId1"/>
    <sheet name="Allgemeine Eingaben" sheetId="2" r:id="rId2"/>
    <sheet name="Anlage1" sheetId="3" r:id="rId3"/>
    <sheet name="Anlage2" sheetId="4" r:id="rId4"/>
    <sheet name="Anlage3" sheetId="5" r:id="rId5"/>
    <sheet name="Auswertung" sheetId="6" r:id="rId6"/>
  </sheets>
  <definedNames/>
  <calcPr fullCalcOnLoad="1"/>
</workbook>
</file>

<file path=xl/sharedStrings.xml><?xml version="1.0" encoding="utf-8"?>
<sst xmlns="http://schemas.openxmlformats.org/spreadsheetml/2006/main" count="274" uniqueCount="102">
  <si>
    <t>Einstrahlung pro Jahr</t>
  </si>
  <si>
    <t>Degression Ausrichtung</t>
  </si>
  <si>
    <t>Wirkungsgrad Modul</t>
  </si>
  <si>
    <t>Wirkungsgrad WR</t>
  </si>
  <si>
    <t>Leitungsverlust</t>
  </si>
  <si>
    <t>Persönlicher Steuersatz</t>
  </si>
  <si>
    <t>Vergütungssatz</t>
  </si>
  <si>
    <t>Nettokosten Anschaffung</t>
  </si>
  <si>
    <t>Jährliche Betriebskosten</t>
  </si>
  <si>
    <t>m2</t>
  </si>
  <si>
    <t>%</t>
  </si>
  <si>
    <t>€</t>
  </si>
  <si>
    <t>kW/m2</t>
  </si>
  <si>
    <t>€/kWh</t>
  </si>
  <si>
    <t>Zinssatz Geldanlagen</t>
  </si>
  <si>
    <t>Errichtungssjahr</t>
  </si>
  <si>
    <t>Anzahl Module</t>
  </si>
  <si>
    <t>Höhe Modul</t>
  </si>
  <si>
    <t>Breite Modul</t>
  </si>
  <si>
    <t>Faktor wirksame Fläche</t>
  </si>
  <si>
    <t>mm</t>
  </si>
  <si>
    <t>Degression pro Jahr</t>
  </si>
  <si>
    <t>Jahr</t>
  </si>
  <si>
    <t>Stromerzeugung</t>
  </si>
  <si>
    <t>Sonderabschreibung  Jahr 1</t>
  </si>
  <si>
    <t>Restwert Jahresende</t>
  </si>
  <si>
    <t>Ausgaben</t>
  </si>
  <si>
    <t>Jährliche Betriebskostensteigerung</t>
  </si>
  <si>
    <t>zu versteuernder Anteil</t>
  </si>
  <si>
    <t>Jährlicher Gewinn aus Anlage</t>
  </si>
  <si>
    <t>Jährlicher Gewinn aus Zinsen</t>
  </si>
  <si>
    <t>Kumulierter Jahresgewinn</t>
  </si>
  <si>
    <t>kWh</t>
  </si>
  <si>
    <t>EUR</t>
  </si>
  <si>
    <t>Anlagenbezeichnung</t>
  </si>
  <si>
    <t>Eingabe Anlagendaten</t>
  </si>
  <si>
    <t>Berechnung</t>
  </si>
  <si>
    <t>Anlage 1</t>
  </si>
  <si>
    <t>Anlage 2</t>
  </si>
  <si>
    <t>Anlage 3</t>
  </si>
  <si>
    <t>#1</t>
  </si>
  <si>
    <t>Reine Bankanlage</t>
  </si>
  <si>
    <t>Programm zur Renditeberechnung von Photovoltaikanlagen</t>
  </si>
  <si>
    <t>Hier ist die für den Aufstellungsort prognostizierte Einstrahlungsleistung einzugeben. Für Deutschland werden diese Daten u.a. unter www.photon.de bereitgestellt (Jahreswerte, Durchschnittswert über 20 Jahre)</t>
  </si>
  <si>
    <t>Falls eine SonderAFA (Ansparabschreibung) geltend gemacht wird, hier bitte den Abschreibungssatz eingeben.</t>
  </si>
  <si>
    <t>Hier kann eine jährliche Betriebskostensteigerung angegeben werden.</t>
  </si>
  <si>
    <t>#2</t>
  </si>
  <si>
    <t>#3</t>
  </si>
  <si>
    <t>Nettokosten</t>
  </si>
  <si>
    <t>Mehrgewinn gegenüber reiner Bankanlage</t>
  </si>
  <si>
    <t>Hier können Sie einen Namen vergeben.</t>
  </si>
  <si>
    <t>Geben Sie hier die Anzahl der Solarmodule ein.</t>
  </si>
  <si>
    <t>Geben Sie hier die Höhe des Moduls ein.</t>
  </si>
  <si>
    <t>Geben Sie hier die Breite des Moduls ein.</t>
  </si>
  <si>
    <t>Wirksame Fläche</t>
  </si>
  <si>
    <t>Hier können Sie einen Faktor für eventuell relevante Leitungsverluste eingeben.</t>
  </si>
  <si>
    <t>Wird berechnet.</t>
  </si>
  <si>
    <t>Geben Sie hier das Inbetriebnahmejahr ein.</t>
  </si>
  <si>
    <t>Anlagenname</t>
  </si>
  <si>
    <t>Hier können jährliche Betriebskosten angegeben werden 
(Zählermiete, Versicherung, usw …)</t>
  </si>
  <si>
    <t xml:space="preserve">Hier ist der persönliche Steuersatz (aus Einkommensteuererklärung) anzugeben. </t>
  </si>
  <si>
    <t>Nicht die gesamte Modulfläche ist wirksame Fläche. Definieren Sie hier einen Faktor für die wirksame Fläche (abzüglich Rahmen, Leerflächen in den Modulen (z.B. fehlende Ecken bei monokristallinen Zellen), Kontaktflächen, usw.)</t>
  </si>
  <si>
    <t xml:space="preserve">Geben Sie hier den Wirkungsgrad des Moduls ein. (Datenblatt) </t>
  </si>
  <si>
    <t xml:space="preserve">Geben Sie hier den Wirkungsgrad des Wechselrichters ein. (Datenblatt) </t>
  </si>
  <si>
    <t>Geben Sie hier die Nettokosten (ohne Mehrwertsteuer) der Anlage ein.</t>
  </si>
  <si>
    <t xml:space="preserve">Kreuzungspunkt Nettokosten/PV-Anlage: Zeitpunkt Kosten für PV-Anlage erwirtschaftet
Kreuzungspunkt PV-Anlage/Bankanlage: Zeitpunkt PV-Anlage rentabler als Bankanlage
</t>
  </si>
  <si>
    <t>Zinssatz Kredit</t>
  </si>
  <si>
    <t>Laufzeit Kredit</t>
  </si>
  <si>
    <t>Eigenkapital</t>
  </si>
  <si>
    <t>Kreditaufnahme</t>
  </si>
  <si>
    <t>Monatliche Kreditrate</t>
  </si>
  <si>
    <t>Jährliche Zinszahlung</t>
  </si>
  <si>
    <t>Nettokosten Anlage</t>
  </si>
  <si>
    <t xml:space="preserve">Copyright 2008 Göbel
Version 0.910        25.05.2008
Ausschluß jeglicher Haftung und Gewährleistung. Keine rechtliche und steuerliche Beratung.                                 </t>
  </si>
  <si>
    <t xml:space="preserve">Hier den nach EEG geltenden Vergütungssatz eingeben. 
z.B. Aufdachanlagen: 2007: 0,4921€, 2008: 0,4675€ </t>
  </si>
  <si>
    <t>Steuerlast</t>
  </si>
  <si>
    <t>Abschrei-bung</t>
  </si>
  <si>
    <t>Einnahmen aus Stromverkauf</t>
  </si>
  <si>
    <t>Gesamtsumme Zinsen für Kredit</t>
  </si>
  <si>
    <t>Durchschnittliche Rendite PV-Anlage pro Jahr</t>
  </si>
  <si>
    <t>Erzeugte Energie</t>
  </si>
  <si>
    <t>davon erwirtschaftet</t>
  </si>
  <si>
    <t>Prognostizierte Endsumme bei PV-Anlage</t>
  </si>
  <si>
    <t>Prognostizierte Endsumme für Bankanlage</t>
  </si>
  <si>
    <t>davon Grundkapital</t>
  </si>
  <si>
    <t>Notwendiger Bankzins pro Jahr für Rendite wie PV-Anlage</t>
  </si>
  <si>
    <t>davon erwirtschaftet aus Bankanlage der Einnahmen</t>
  </si>
  <si>
    <t>davon erwirtschaftet aus Stromverkauf (nach Steuern)</t>
  </si>
  <si>
    <t>Eingesetztes Eigenkapital</t>
  </si>
  <si>
    <t>Anlage A Kredit</t>
  </si>
  <si>
    <t>Anlage B Cash</t>
  </si>
  <si>
    <t>CO2-Einsparung</t>
  </si>
  <si>
    <t>kg</t>
  </si>
  <si>
    <t>Jahre</t>
  </si>
  <si>
    <t>Hier muß der langjährige Zinssatz für Geldanlagen eingegeben werden. Der durchschnittliche Zinssatz der letzten 20 Jahr betrug etwa 4,1%. Bitte beachten Sie, dass mit der ab 2009 geltenden Abgeltungssteuer sich die Rendite bei Bankanlagen entsprechend reduzieren kann. Sofern Sie eine Abgeltungssteuer in die Berechnung einfließen lassen wollen, setzen Sie nur 3/4 des sonst üblichen Bankzinsatzes an.</t>
  </si>
  <si>
    <t>Geben Sie hier das Eigenkapital ein. Der Wert darf nicht größer als die Nettokosten sein.</t>
  </si>
  <si>
    <t xml:space="preserve">
Mit diesem Programm lässt sich die Rendite von PV-Anlagen berechnen und untereinander vergleichen.
Dabei kann man Vergleiche zwischen Kreditfinanzierung und Barzahlung erstellen.
Außerdem ermöglicht das Programm den Renditevergleich zwischen einer Investition in eine PV-Anlage bzw. der reinen Bankanlage 
der Investitionssumme.
Das Programm basiert auf den folgenden Voraussetzungen:
- Lineare Abschreibungsmöglichkeit ab 2008
- Die Inbetriebnahme der Anlage ist am 1.1. des Errichtungsjahres. Nach EEG ergibt sich somit ein Förderzeitraum von 20+1 Jahren.
- Der persönliche Steuersatz bleibt über die gesamte Zeit konstant.
- Während der Betriebszeit fallen keine Zusatzkosten für den Ersatz wesentlicher Systemkomponenten an.
- Der gesamte Strom wird verkauft.
- Das Programm rechnet nur mit Nettokosten (ohne Mehrwertsteuer). Wenn eine Anlage über Kredit finanziert wird so beachten Sie, 
  dass Sie die Mehrwertsteuer der Anlagenkosten für einige Monate bis zur Rückzahlung durch das Finanzamt vorfinanzieren müssen.
- Bankanlage sämtlicher Erlöse (Einspeisevergütung, Steuerrückzahlung, usw.) aus der PV-Anlage.
- Bei Sozialversicherungspflicht können zusätzliche Kosten durch Abgaben entstehen. Diese werden nicht berücksichtigt.
- Die Inflation wird nicht berücksichtigt, da diese sich gleichermaßen auf die PV-Anlage wie auch auf Bankanlagen auswirkt.
- Eventuelle Entsorgungskosten für die Anlage oder der weitere Stromverkauf nach 21 Jahren werden nicht berücksichtigt.
</t>
  </si>
  <si>
    <r>
      <t xml:space="preserve">Die Einstrahlungswerte sind bezogen au die optimale Anlagenausrichtung Süd, Dachneigung ca. 30 Grad. Abweichungen führen zu Mindererträgen. Als Anhaltspunkt dient die folgenden Tabelle:
</t>
    </r>
    <r>
      <rPr>
        <b/>
        <sz val="10"/>
        <color indexed="8"/>
        <rFont val="Courier New"/>
        <family val="3"/>
      </rPr>
      <t xml:space="preserve">Dachneigung  -90   -70   -50   -30   -10     0    10    30    50    70    90
in Grad      Ost                           Süd                           West           
30            10     5     0     0     0     0     0     0     0     5    10
40            15     5     0     0     0     0     0     0     0     5    15
50            20    10     5     5     0     0     0     5     5    10    20
60            25    15    10    10     5     5     5    10    10    15    25
70            30    20    20    15    10    10    10    15    20    20    30
</t>
    </r>
  </si>
  <si>
    <t>Solarmodule weissen über die Betriebszeit eine Degression in ihrer Leistung auf. Diese Degression kann hier berücksichtigt werden. 
Als Basiswert sollte hier bei 80% Garantie nach 20 Jahren 1%, bei  25 Jahren 0,8 angenommen werden.</t>
  </si>
  <si>
    <t>Geben Sie hier den effektiven Zinssatz für den Kredit an. Falls Sie keinen Kredit aufnehmen müssen, setzen Sie einfach in den Anlagenblättern Eigenkapital = Nettokosten.</t>
  </si>
  <si>
    <t>Geben Sie hier die Laufzeit des Kredites an. Falls Sie keinen Kredit aufnehmen müssen, TRAGEN SIE HIER BITTE "1"  EIN und setzen Sie in den Anlagenblättern Eigenkapital = Nettokosten.</t>
  </si>
  <si>
    <t>Anlage A Cash</t>
  </si>
</sst>
</file>

<file path=xl/styles.xml><?xml version="1.0" encoding="utf-8"?>
<styleSheet xmlns="http://schemas.openxmlformats.org/spreadsheetml/2006/main">
  <numFmts count="15">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EUR&quot;\ #,##0"/>
  </numFmts>
  <fonts count="16">
    <font>
      <sz val="10"/>
      <name val="Arial"/>
      <family val="0"/>
    </font>
    <font>
      <sz val="8"/>
      <name val="Arial"/>
      <family val="0"/>
    </font>
    <font>
      <b/>
      <sz val="10"/>
      <name val="Arial"/>
      <family val="2"/>
    </font>
    <font>
      <i/>
      <sz val="8"/>
      <name val="Arial"/>
      <family val="2"/>
    </font>
    <font>
      <b/>
      <sz val="12"/>
      <name val="Arial"/>
      <family val="2"/>
    </font>
    <font>
      <b/>
      <sz val="16"/>
      <name val="Arial"/>
      <family val="2"/>
    </font>
    <font>
      <b/>
      <sz val="18"/>
      <name val="Arial"/>
      <family val="2"/>
    </font>
    <font>
      <i/>
      <sz val="10"/>
      <name val="Arial"/>
      <family val="2"/>
    </font>
    <font>
      <b/>
      <sz val="14"/>
      <name val="Arial"/>
      <family val="2"/>
    </font>
    <font>
      <sz val="14"/>
      <name val="Arial"/>
      <family val="2"/>
    </font>
    <font>
      <b/>
      <sz val="18"/>
      <color indexed="8"/>
      <name val="Arial"/>
      <family val="2"/>
    </font>
    <font>
      <b/>
      <sz val="10"/>
      <color indexed="8"/>
      <name val="Arial"/>
      <family val="2"/>
    </font>
    <font>
      <sz val="12"/>
      <name val="Arial"/>
      <family val="2"/>
    </font>
    <font>
      <sz val="11"/>
      <name val="Arial"/>
      <family val="0"/>
    </font>
    <font>
      <b/>
      <sz val="9"/>
      <name val="Arial"/>
      <family val="2"/>
    </font>
    <font>
      <b/>
      <sz val="10"/>
      <color indexed="8"/>
      <name val="Courier New"/>
      <family val="3"/>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s>
  <borders count="4">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1" fontId="0" fillId="0" borderId="0" xfId="0" applyNumberFormat="1" applyAlignment="1">
      <alignment/>
    </xf>
    <xf numFmtId="0" fontId="3" fillId="0" borderId="0" xfId="0" applyFont="1" applyAlignment="1">
      <alignment horizontal="center" wrapText="1"/>
    </xf>
    <xf numFmtId="0" fontId="3" fillId="0" borderId="0" xfId="0" applyFont="1" applyAlignment="1">
      <alignment/>
    </xf>
    <xf numFmtId="1" fontId="3" fillId="0" borderId="0" xfId="0" applyNumberFormat="1" applyFont="1" applyAlignment="1">
      <alignment/>
    </xf>
    <xf numFmtId="0" fontId="5" fillId="0" borderId="0" xfId="0" applyFont="1" applyAlignment="1">
      <alignment/>
    </xf>
    <xf numFmtId="1" fontId="0" fillId="0" borderId="0" xfId="0" applyNumberFormat="1" applyAlignment="1">
      <alignment horizontal="center"/>
    </xf>
    <xf numFmtId="0" fontId="7" fillId="0" borderId="0" xfId="0" applyFont="1" applyAlignment="1">
      <alignment horizontal="center" wrapText="1"/>
    </xf>
    <xf numFmtId="0" fontId="7" fillId="0" borderId="0" xfId="0" applyFont="1" applyAlignment="1">
      <alignment/>
    </xf>
    <xf numFmtId="1" fontId="7" fillId="0" borderId="0" xfId="0" applyNumberFormat="1" applyFont="1" applyAlignment="1">
      <alignment horizontal="center"/>
    </xf>
    <xf numFmtId="0" fontId="0" fillId="0" borderId="0" xfId="0" applyFont="1" applyAlignment="1">
      <alignment/>
    </xf>
    <xf numFmtId="0" fontId="4" fillId="0" borderId="0" xfId="0" applyFont="1" applyAlignment="1">
      <alignment/>
    </xf>
    <xf numFmtId="0" fontId="2" fillId="0" borderId="0" xfId="0" applyFont="1" applyAlignment="1">
      <alignment wrapText="1"/>
    </xf>
    <xf numFmtId="0" fontId="8" fillId="0" borderId="0" xfId="0" applyFont="1" applyAlignment="1">
      <alignment/>
    </xf>
    <xf numFmtId="0" fontId="9" fillId="0" borderId="0" xfId="0" applyFont="1" applyAlignment="1">
      <alignment/>
    </xf>
    <xf numFmtId="0" fontId="6" fillId="0" borderId="0" xfId="0" applyFont="1" applyFill="1" applyAlignment="1">
      <alignment/>
    </xf>
    <xf numFmtId="0" fontId="8" fillId="2" borderId="1" xfId="0" applyFont="1" applyFill="1" applyBorder="1" applyAlignment="1" applyProtection="1">
      <alignment/>
      <protection locked="0"/>
    </xf>
    <xf numFmtId="0" fontId="9" fillId="3" borderId="2" xfId="0" applyFont="1" applyFill="1" applyBorder="1" applyAlignment="1" applyProtection="1">
      <alignment/>
      <protection/>
    </xf>
    <xf numFmtId="0" fontId="9" fillId="3" borderId="1" xfId="0" applyFont="1" applyFill="1" applyBorder="1" applyAlignment="1" applyProtection="1">
      <alignment/>
      <protection/>
    </xf>
    <xf numFmtId="0" fontId="12" fillId="3" borderId="0" xfId="0" applyFont="1" applyFill="1" applyAlignment="1">
      <alignment/>
    </xf>
    <xf numFmtId="0" fontId="12" fillId="3" borderId="0" xfId="0" applyFont="1" applyFill="1" applyAlignment="1">
      <alignment horizontal="center" wrapText="1"/>
    </xf>
    <xf numFmtId="0" fontId="4" fillId="2" borderId="0" xfId="0" applyFont="1" applyFill="1" applyAlignment="1" applyProtection="1">
      <alignment horizontal="center" wrapText="1"/>
      <protection locked="0"/>
    </xf>
    <xf numFmtId="0" fontId="8" fillId="0" borderId="0" xfId="0" applyFont="1" applyBorder="1" applyAlignment="1">
      <alignment wrapText="1"/>
    </xf>
    <xf numFmtId="0" fontId="8" fillId="0" borderId="0" xfId="0" applyFont="1" applyBorder="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 fontId="6" fillId="4" borderId="0" xfId="0" applyNumberFormat="1" applyFont="1" applyFill="1" applyBorder="1" applyAlignment="1">
      <alignment horizontal="center"/>
    </xf>
    <xf numFmtId="0" fontId="2" fillId="0" borderId="0" xfId="0" applyFont="1" applyAlignment="1">
      <alignment horizontal="center"/>
    </xf>
    <xf numFmtId="2" fontId="0" fillId="0" borderId="0" xfId="0" applyNumberFormat="1" applyAlignment="1">
      <alignment horizontal="center"/>
    </xf>
    <xf numFmtId="0" fontId="8" fillId="0" borderId="0" xfId="0" applyFont="1" applyFill="1" applyBorder="1" applyAlignment="1">
      <alignment wrapText="1"/>
    </xf>
    <xf numFmtId="0" fontId="8" fillId="0" borderId="0" xfId="0" applyFont="1" applyFill="1" applyBorder="1" applyAlignment="1">
      <alignment horizontal="center"/>
    </xf>
    <xf numFmtId="1" fontId="6" fillId="0" borderId="0" xfId="0" applyNumberFormat="1" applyFont="1" applyFill="1" applyBorder="1" applyAlignment="1">
      <alignment horizontal="center"/>
    </xf>
    <xf numFmtId="0" fontId="12" fillId="0" borderId="0" xfId="0" applyFont="1" applyAlignment="1">
      <alignment wrapText="1"/>
    </xf>
    <xf numFmtId="0" fontId="12" fillId="0" borderId="0" xfId="0" applyFont="1" applyBorder="1" applyAlignment="1">
      <alignment horizontal="center"/>
    </xf>
    <xf numFmtId="2" fontId="12" fillId="0" borderId="0" xfId="0" applyNumberFormat="1" applyFont="1" applyAlignment="1">
      <alignment horizontal="center"/>
    </xf>
    <xf numFmtId="0" fontId="12" fillId="0" borderId="0" xfId="0" applyFont="1" applyAlignment="1">
      <alignment/>
    </xf>
    <xf numFmtId="0" fontId="2" fillId="0" borderId="0" xfId="0" applyFont="1" applyBorder="1" applyAlignment="1">
      <alignment horizontal="center"/>
    </xf>
    <xf numFmtId="1" fontId="0" fillId="0" borderId="0" xfId="0" applyNumberFormat="1"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Alignment="1">
      <alignment wrapText="1"/>
    </xf>
    <xf numFmtId="1" fontId="0" fillId="0" borderId="0" xfId="0" applyNumberFormat="1" applyFont="1" applyAlignment="1">
      <alignment horizontal="center"/>
    </xf>
    <xf numFmtId="2" fontId="0"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0" fillId="0" borderId="0" xfId="0" applyAlignment="1" applyProtection="1">
      <alignment horizontal="center" wrapText="1"/>
      <protection hidden="1"/>
    </xf>
    <xf numFmtId="0" fontId="0" fillId="0" borderId="0" xfId="0" applyAlignment="1" applyProtection="1">
      <alignment/>
      <protection hidden="1"/>
    </xf>
    <xf numFmtId="0" fontId="10" fillId="2" borderId="0" xfId="0" applyFont="1" applyFill="1" applyAlignment="1">
      <alignment/>
    </xf>
    <xf numFmtId="0" fontId="2" fillId="2" borderId="0" xfId="0" applyFont="1" applyFill="1" applyAlignment="1">
      <alignment wrapText="1"/>
    </xf>
    <xf numFmtId="0" fontId="2" fillId="5" borderId="0" xfId="0" applyFont="1" applyFill="1" applyAlignment="1">
      <alignment wrapText="1"/>
    </xf>
    <xf numFmtId="0" fontId="2" fillId="5" borderId="0" xfId="0" applyFont="1" applyFill="1" applyAlignment="1">
      <alignment/>
    </xf>
    <xf numFmtId="0" fontId="11" fillId="5" borderId="1" xfId="0" applyFont="1" applyFill="1" applyBorder="1" applyAlignment="1" applyProtection="1">
      <alignment wrapText="1"/>
      <protection/>
    </xf>
    <xf numFmtId="0" fontId="11" fillId="5" borderId="3" xfId="0" applyFont="1" applyFill="1" applyBorder="1" applyAlignment="1" applyProtection="1">
      <alignment wrapText="1"/>
      <protection/>
    </xf>
    <xf numFmtId="0" fontId="0" fillId="5" borderId="0" xfId="0" applyFont="1" applyFill="1" applyAlignment="1">
      <alignment wrapText="1"/>
    </xf>
    <xf numFmtId="0" fontId="0" fillId="5" borderId="0" xfId="0" applyFont="1" applyFill="1" applyAlignment="1">
      <alignment/>
    </xf>
    <xf numFmtId="0" fontId="12" fillId="3" borderId="0" xfId="0" applyFont="1" applyFill="1" applyAlignment="1">
      <alignment/>
    </xf>
    <xf numFmtId="1" fontId="0" fillId="5" borderId="0" xfId="0" applyNumberFormat="1" applyFill="1" applyAlignment="1">
      <alignment horizontal="center" wrapText="1"/>
    </xf>
    <xf numFmtId="0" fontId="0" fillId="5" borderId="0" xfId="0" applyFill="1" applyAlignment="1">
      <alignment horizontal="center" wrapText="1"/>
    </xf>
    <xf numFmtId="0" fontId="5" fillId="0" borderId="0" xfId="0" applyFont="1" applyAlignment="1">
      <alignment/>
    </xf>
    <xf numFmtId="0"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375"/>
          <c:w val="0.7895"/>
          <c:h val="0.9525"/>
        </c:manualLayout>
      </c:layout>
      <c:lineChart>
        <c:grouping val="standard"/>
        <c:varyColors val="0"/>
        <c:ser>
          <c:idx val="0"/>
          <c:order val="0"/>
          <c:tx>
            <c:v>PV-Anlage</c:v>
          </c:tx>
          <c:extLst>
            <c:ext xmlns:c14="http://schemas.microsoft.com/office/drawing/2007/8/2/chart" uri="{6F2FDCE9-48DA-4B69-8628-5D25D57E5C99}">
              <c14:invertSolidFillFmt>
                <c14:spPr>
                  <a:solidFill>
                    <a:srgbClr val="000000"/>
                  </a:solidFill>
                </c14:spPr>
              </c14:invertSolidFillFmt>
            </c:ext>
          </c:extLst>
          <c:cat>
            <c:numRef>
              <c:f>Anlage1!$A$24:$A$44</c:f>
              <c:numCache/>
            </c:numRef>
          </c:cat>
          <c:val>
            <c:numRef>
              <c:f>Anlage1!$N$24:$N$44</c:f>
              <c:numCache>
                <c:ptCount val="21"/>
                <c:pt idx="0">
                  <c:v>1265.543596007733</c:v>
                </c:pt>
                <c:pt idx="1">
                  <c:v>1877.818979451783</c:v>
                </c:pt>
                <c:pt idx="2">
                  <c:v>2500.0421536170384</c:v>
                </c:pt>
                <c:pt idx="3">
                  <c:v>3133.0183529230694</c:v>
                </c:pt>
                <c:pt idx="4">
                  <c:v>3776.791076400648</c:v>
                </c:pt>
                <c:pt idx="5">
                  <c:v>4431.802981540807</c:v>
                </c:pt>
                <c:pt idx="6">
                  <c:v>5098.912249791713</c:v>
                </c:pt>
                <c:pt idx="7">
                  <c:v>5778.217498040905</c:v>
                </c:pt>
                <c:pt idx="8">
                  <c:v>6470.218761468315</c:v>
                </c:pt>
                <c:pt idx="9">
                  <c:v>7175.83395169625</c:v>
                </c:pt>
                <c:pt idx="10">
                  <c:v>7895.223864723529</c:v>
                </c:pt>
                <c:pt idx="11">
                  <c:v>8628.953264184927</c:v>
                </c:pt>
                <c:pt idx="12">
                  <c:v>9378.00744402424</c:v>
                </c:pt>
                <c:pt idx="13">
                  <c:v>10142.617345236968</c:v>
                </c:pt>
                <c:pt idx="14">
                  <c:v>10923.420752399416</c:v>
                </c:pt>
                <c:pt idx="15">
                  <c:v>12970.433128247792</c:v>
                </c:pt>
                <c:pt idx="16">
                  <c:v>15086.21751150595</c:v>
                </c:pt>
                <c:pt idx="17">
                  <c:v>17273.593554477695</c:v>
                </c:pt>
                <c:pt idx="18">
                  <c:v>19535.89389021128</c:v>
                </c:pt>
                <c:pt idx="19">
                  <c:v>21875.79303970994</c:v>
                </c:pt>
                <c:pt idx="20">
                  <c:v>24158.47255433805</c:v>
                </c:pt>
              </c:numCache>
            </c:numRef>
          </c:val>
          <c:smooth val="0"/>
        </c:ser>
        <c:ser>
          <c:idx val="1"/>
          <c:order val="1"/>
          <c:tx>
            <c:v>Bankanlage</c:v>
          </c:tx>
          <c:extLst>
            <c:ext xmlns:c14="http://schemas.microsoft.com/office/drawing/2007/8/2/chart" uri="{6F2FDCE9-48DA-4B69-8628-5D25D57E5C99}">
              <c14:invertSolidFillFmt>
                <c14:spPr>
                  <a:solidFill>
                    <a:srgbClr val="000000"/>
                  </a:solidFill>
                </c14:spPr>
              </c14:invertSolidFillFmt>
            </c:ext>
          </c:extLst>
          <c:cat>
            <c:numRef>
              <c:f>Anlage1!$A$24:$A$44</c:f>
              <c:numCache/>
            </c:numRef>
          </c:cat>
          <c:val>
            <c:numRef>
              <c:f>Anlage1!$O$24:$O$44</c:f>
              <c:numCache/>
            </c:numRef>
          </c:val>
          <c:smooth val="0"/>
        </c:ser>
        <c:ser>
          <c:idx val="20"/>
          <c:order val="2"/>
          <c:tx>
            <c:v>Nettokosten</c:v>
          </c:tx>
          <c:extLst>
            <c:ext xmlns:c14="http://schemas.microsoft.com/office/drawing/2007/8/2/chart" uri="{6F2FDCE9-48DA-4B69-8628-5D25D57E5C99}">
              <c14:invertSolidFillFmt>
                <c14:spPr>
                  <a:solidFill>
                    <a:srgbClr val="000000"/>
                  </a:solidFill>
                </c14:spPr>
              </c14:invertSolidFillFmt>
            </c:ext>
          </c:extLst>
          <c:cat>
            <c:numRef>
              <c:f>Anlage1!$A$24:$A$44</c:f>
              <c:numCache/>
            </c:numRef>
          </c:cat>
          <c:val>
            <c:numRef>
              <c:f>Anlage1!$P$24:$P$44</c:f>
              <c:numCache/>
            </c:numRef>
          </c:val>
          <c:smooth val="0"/>
        </c:ser>
        <c:marker val="1"/>
        <c:axId val="47696449"/>
        <c:axId val="26614858"/>
      </c:lineChart>
      <c:catAx>
        <c:axId val="47696449"/>
        <c:scaling>
          <c:orientation val="minMax"/>
        </c:scaling>
        <c:axPos val="b"/>
        <c:delete val="0"/>
        <c:numFmt formatCode="General" sourceLinked="1"/>
        <c:majorTickMark val="out"/>
        <c:minorTickMark val="none"/>
        <c:tickLblPos val="nextTo"/>
        <c:crossAx val="26614858"/>
        <c:crosses val="autoZero"/>
        <c:auto val="1"/>
        <c:lblOffset val="100"/>
        <c:noMultiLvlLbl val="0"/>
      </c:catAx>
      <c:valAx>
        <c:axId val="26614858"/>
        <c:scaling>
          <c:orientation val="minMax"/>
        </c:scaling>
        <c:axPos val="l"/>
        <c:majorGridlines/>
        <c:delete val="0"/>
        <c:numFmt formatCode="General" sourceLinked="1"/>
        <c:majorTickMark val="out"/>
        <c:minorTickMark val="none"/>
        <c:tickLblPos val="nextTo"/>
        <c:crossAx val="476964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375"/>
          <c:w val="0.78925"/>
          <c:h val="0.9525"/>
        </c:manualLayout>
      </c:layout>
      <c:lineChart>
        <c:grouping val="standard"/>
        <c:varyColors val="0"/>
        <c:ser>
          <c:idx val="0"/>
          <c:order val="0"/>
          <c:tx>
            <c:v>PV-Anlage</c:v>
          </c:tx>
          <c:extLst>
            <c:ext xmlns:c14="http://schemas.microsoft.com/office/drawing/2007/8/2/chart" uri="{6F2FDCE9-48DA-4B69-8628-5D25D57E5C99}">
              <c14:invertSolidFillFmt>
                <c14:spPr>
                  <a:solidFill>
                    <a:srgbClr val="000000"/>
                  </a:solidFill>
                </c14:spPr>
              </c14:invertSolidFillFmt>
            </c:ext>
          </c:extLst>
          <c:cat>
            <c:numRef>
              <c:f>Anlage2!$A$24:$A$44</c:f>
              <c:numCache/>
            </c:numRef>
          </c:cat>
          <c:val>
            <c:numRef>
              <c:f>Anlage2!$N$24:$N$44</c:f>
              <c:numCache>
                <c:ptCount val="21"/>
                <c:pt idx="0">
                  <c:v>2514.4977500000005</c:v>
                </c:pt>
                <c:pt idx="1">
                  <c:v>4426.93440775</c:v>
                </c:pt>
                <c:pt idx="2">
                  <c:v>6402.62546846775</c:v>
                </c:pt>
                <c:pt idx="3">
                  <c:v>8444.561737674929</c:v>
                </c:pt>
                <c:pt idx="4">
                  <c:v>10555.061893919601</c:v>
                </c:pt>
                <c:pt idx="5">
                  <c:v>12736.937056570305</c:v>
                </c:pt>
                <c:pt idx="6">
                  <c:v>14993.510975889687</c:v>
                </c:pt>
                <c:pt idx="7">
                  <c:v>17327.448925901164</c:v>
                </c:pt>
                <c:pt idx="8">
                  <c:v>19741.922831863114</c:v>
                </c:pt>
                <c:pt idx="9">
                  <c:v>22240.6320429695</c:v>
                </c:pt>
                <c:pt idx="10">
                  <c:v>24826.63283173125</c:v>
                </c:pt>
                <c:pt idx="11">
                  <c:v>27503.504152832233</c:v>
                </c:pt>
                <c:pt idx="12">
                  <c:v>30275.369073098354</c:v>
                </c:pt>
                <c:pt idx="13">
                  <c:v>33145.724955095386</c:v>
                </c:pt>
                <c:pt idx="14">
                  <c:v>36118.6099282543</c:v>
                </c:pt>
                <c:pt idx="15">
                  <c:v>39198.62506031273</c:v>
                </c:pt>
                <c:pt idx="16">
                  <c:v>42389.765312785545</c:v>
                </c:pt>
                <c:pt idx="17">
                  <c:v>45696.58681560975</c:v>
                </c:pt>
                <c:pt idx="18">
                  <c:v>49124.22987504975</c:v>
                </c:pt>
                <c:pt idx="19">
                  <c:v>52677.25079992679</c:v>
                </c:pt>
                <c:pt idx="20">
                  <c:v>56222.79008272379</c:v>
                </c:pt>
              </c:numCache>
            </c:numRef>
          </c:val>
          <c:smooth val="0"/>
        </c:ser>
        <c:ser>
          <c:idx val="1"/>
          <c:order val="1"/>
          <c:tx>
            <c:v>Bankanlage</c:v>
          </c:tx>
          <c:extLst>
            <c:ext xmlns:c14="http://schemas.microsoft.com/office/drawing/2007/8/2/chart" uri="{6F2FDCE9-48DA-4B69-8628-5D25D57E5C99}">
              <c14:invertSolidFillFmt>
                <c14:spPr>
                  <a:solidFill>
                    <a:srgbClr val="000000"/>
                  </a:solidFill>
                </c14:spPr>
              </c14:invertSolidFillFmt>
            </c:ext>
          </c:extLst>
          <c:cat>
            <c:numRef>
              <c:f>Anlage2!$A$24:$A$44</c:f>
              <c:numCache/>
            </c:numRef>
          </c:cat>
          <c:val>
            <c:numRef>
              <c:f>Anlage2!$O$24:$O$44</c:f>
              <c:numCache/>
            </c:numRef>
          </c:val>
          <c:smooth val="0"/>
        </c:ser>
        <c:ser>
          <c:idx val="20"/>
          <c:order val="2"/>
          <c:tx>
            <c:v>Nettokosten</c:v>
          </c:tx>
          <c:extLst>
            <c:ext xmlns:c14="http://schemas.microsoft.com/office/drawing/2007/8/2/chart" uri="{6F2FDCE9-48DA-4B69-8628-5D25D57E5C99}">
              <c14:invertSolidFillFmt>
                <c14:spPr>
                  <a:solidFill>
                    <a:srgbClr val="000000"/>
                  </a:solidFill>
                </c14:spPr>
              </c14:invertSolidFillFmt>
            </c:ext>
          </c:extLst>
          <c:cat>
            <c:numRef>
              <c:f>Anlage2!$A$24:$A$44</c:f>
              <c:numCache/>
            </c:numRef>
          </c:cat>
          <c:val>
            <c:numRef>
              <c:f>Anlage2!$P$24:$P$44</c:f>
              <c:numCache/>
            </c:numRef>
          </c:val>
          <c:smooth val="0"/>
        </c:ser>
        <c:marker val="1"/>
        <c:axId val="38207131"/>
        <c:axId val="8319860"/>
      </c:lineChart>
      <c:catAx>
        <c:axId val="38207131"/>
        <c:scaling>
          <c:orientation val="minMax"/>
        </c:scaling>
        <c:axPos val="b"/>
        <c:delete val="0"/>
        <c:numFmt formatCode="General" sourceLinked="1"/>
        <c:majorTickMark val="out"/>
        <c:minorTickMark val="none"/>
        <c:tickLblPos val="nextTo"/>
        <c:crossAx val="8319860"/>
        <c:crosses val="autoZero"/>
        <c:auto val="1"/>
        <c:lblOffset val="100"/>
        <c:noMultiLvlLbl val="0"/>
      </c:catAx>
      <c:valAx>
        <c:axId val="8319860"/>
        <c:scaling>
          <c:orientation val="minMax"/>
        </c:scaling>
        <c:axPos val="l"/>
        <c:majorGridlines/>
        <c:delete val="0"/>
        <c:numFmt formatCode="General" sourceLinked="1"/>
        <c:majorTickMark val="out"/>
        <c:minorTickMark val="none"/>
        <c:tickLblPos val="nextTo"/>
        <c:crossAx val="382071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375"/>
          <c:w val="0.78925"/>
          <c:h val="0.9525"/>
        </c:manualLayout>
      </c:layout>
      <c:lineChart>
        <c:grouping val="standard"/>
        <c:varyColors val="0"/>
        <c:ser>
          <c:idx val="0"/>
          <c:order val="0"/>
          <c:tx>
            <c:v>PV-Anlage</c:v>
          </c:tx>
          <c:extLst>
            <c:ext xmlns:c14="http://schemas.microsoft.com/office/drawing/2007/8/2/chart" uri="{6F2FDCE9-48DA-4B69-8628-5D25D57E5C99}">
              <c14:invertSolidFillFmt>
                <c14:spPr>
                  <a:solidFill>
                    <a:srgbClr val="000000"/>
                  </a:solidFill>
                </c14:spPr>
              </c14:invertSolidFillFmt>
            </c:ext>
          </c:extLst>
          <c:cat>
            <c:numRef>
              <c:f>Anlage3!$A$24:$A$44</c:f>
              <c:numCache/>
            </c:numRef>
          </c:cat>
          <c:val>
            <c:numRef>
              <c:f>Anlage3!$N$24:$N$44</c:f>
              <c:numCache/>
            </c:numRef>
          </c:val>
          <c:smooth val="0"/>
        </c:ser>
        <c:ser>
          <c:idx val="1"/>
          <c:order val="1"/>
          <c:tx>
            <c:v>Bankanlage</c:v>
          </c:tx>
          <c:extLst>
            <c:ext xmlns:c14="http://schemas.microsoft.com/office/drawing/2007/8/2/chart" uri="{6F2FDCE9-48DA-4B69-8628-5D25D57E5C99}">
              <c14:invertSolidFillFmt>
                <c14:spPr>
                  <a:solidFill>
                    <a:srgbClr val="000000"/>
                  </a:solidFill>
                </c14:spPr>
              </c14:invertSolidFillFmt>
            </c:ext>
          </c:extLst>
          <c:cat>
            <c:numRef>
              <c:f>Anlage3!$A$24:$A$44</c:f>
              <c:numCache/>
            </c:numRef>
          </c:cat>
          <c:val>
            <c:numRef>
              <c:f>Anlage3!$O$24:$O$44</c:f>
              <c:numCache/>
            </c:numRef>
          </c:val>
          <c:smooth val="0"/>
        </c:ser>
        <c:ser>
          <c:idx val="20"/>
          <c:order val="2"/>
          <c:tx>
            <c:v>Nettokosten</c:v>
          </c:tx>
          <c:extLst>
            <c:ext xmlns:c14="http://schemas.microsoft.com/office/drawing/2007/8/2/chart" uri="{6F2FDCE9-48DA-4B69-8628-5D25D57E5C99}">
              <c14:invertSolidFillFmt>
                <c14:spPr>
                  <a:solidFill>
                    <a:srgbClr val="000000"/>
                  </a:solidFill>
                </c14:spPr>
              </c14:invertSolidFillFmt>
            </c:ext>
          </c:extLst>
          <c:cat>
            <c:numRef>
              <c:f>Anlage3!$A$24:$A$44</c:f>
              <c:numCache/>
            </c:numRef>
          </c:cat>
          <c:val>
            <c:numRef>
              <c:f>Anlage3!$P$24:$P$44</c:f>
              <c:numCache/>
            </c:numRef>
          </c:val>
          <c:smooth val="0"/>
        </c:ser>
        <c:marker val="1"/>
        <c:axId val="7769877"/>
        <c:axId val="2820030"/>
      </c:lineChart>
      <c:catAx>
        <c:axId val="7769877"/>
        <c:scaling>
          <c:orientation val="minMax"/>
        </c:scaling>
        <c:axPos val="b"/>
        <c:delete val="0"/>
        <c:numFmt formatCode="General" sourceLinked="1"/>
        <c:majorTickMark val="out"/>
        <c:minorTickMark val="none"/>
        <c:tickLblPos val="nextTo"/>
        <c:crossAx val="2820030"/>
        <c:crosses val="autoZero"/>
        <c:auto val="1"/>
        <c:lblOffset val="100"/>
        <c:noMultiLvlLbl val="0"/>
      </c:catAx>
      <c:valAx>
        <c:axId val="2820030"/>
        <c:scaling>
          <c:orientation val="minMax"/>
        </c:scaling>
        <c:axPos val="l"/>
        <c:majorGridlines/>
        <c:delete val="0"/>
        <c:numFmt formatCode="General" sourceLinked="1"/>
        <c:majorTickMark val="out"/>
        <c:minorTickMark val="none"/>
        <c:tickLblPos val="nextTo"/>
        <c:crossAx val="77698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Auswertung!$C$3</c:f>
              <c:strCache>
                <c:ptCount val="1"/>
                <c:pt idx="0">
                  <c:v>Anlage A Kredit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strRef>
              <c:f>(Auswertung!$A$9,Auswertung!$A$14,Auswertung!$A$20)</c:f>
              <c:strCache/>
            </c:strRef>
          </c:cat>
          <c:val>
            <c:numRef>
              <c:f>(Auswertung!$C$9,Auswertung!$C$14,Auswertung!$C$20)</c:f>
              <c:numCache/>
            </c:numRef>
          </c:val>
        </c:ser>
        <c:ser>
          <c:idx val="1"/>
          <c:order val="1"/>
          <c:tx>
            <c:strRef>
              <c:f>Auswertung!$D$3</c:f>
              <c:strCache>
                <c:ptCount val="1"/>
                <c:pt idx="0">
                  <c:v>Anlage A Cash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strRef>
              <c:f>(Auswertung!$A$9,Auswertung!$A$14,Auswertung!$A$20)</c:f>
              <c:strCache/>
            </c:strRef>
          </c:cat>
          <c:val>
            <c:numRef>
              <c:f>(Auswertung!$D$9,Auswertung!$D$14,Auswertung!$D$20)</c:f>
              <c:numCache/>
            </c:numRef>
          </c:val>
        </c:ser>
        <c:ser>
          <c:idx val="2"/>
          <c:order val="2"/>
          <c:tx>
            <c:strRef>
              <c:f>Auswertung!$E$3</c:f>
              <c:strCache>
                <c:ptCount val="1"/>
                <c:pt idx="0">
                  <c:v>Anlage B Cash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strRef>
              <c:f>(Auswertung!$A$9,Auswertung!$A$14,Auswertung!$A$20)</c:f>
              <c:strCache/>
            </c:strRef>
          </c:cat>
          <c:val>
            <c:numRef>
              <c:f>(Auswertung!$E$9,Auswertung!$E$14,Auswertung!$E$20)</c:f>
              <c:numCache/>
            </c:numRef>
          </c:val>
        </c:ser>
        <c:gapWidth val="60"/>
        <c:axId val="25380271"/>
        <c:axId val="27095848"/>
      </c:barChart>
      <c:catAx>
        <c:axId val="25380271"/>
        <c:scaling>
          <c:orientation val="minMax"/>
        </c:scaling>
        <c:axPos val="b"/>
        <c:delete val="0"/>
        <c:numFmt formatCode="General" sourceLinked="1"/>
        <c:majorTickMark val="out"/>
        <c:minorTickMark val="none"/>
        <c:tickLblPos val="nextTo"/>
        <c:crossAx val="27095848"/>
        <c:crosses val="autoZero"/>
        <c:auto val="1"/>
        <c:lblOffset val="100"/>
        <c:noMultiLvlLbl val="0"/>
      </c:catAx>
      <c:valAx>
        <c:axId val="27095848"/>
        <c:scaling>
          <c:orientation val="minMax"/>
        </c:scaling>
        <c:axPos val="l"/>
        <c:majorGridlines/>
        <c:delete val="0"/>
        <c:numFmt formatCode="General" sourceLinked="1"/>
        <c:majorTickMark val="out"/>
        <c:minorTickMark val="none"/>
        <c:tickLblPos val="nextTo"/>
        <c:crossAx val="253802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7</xdr:col>
      <xdr:colOff>371475</xdr:colOff>
      <xdr:row>74</xdr:row>
      <xdr:rowOff>19050</xdr:rowOff>
    </xdr:to>
    <xdr:graphicFrame>
      <xdr:nvGraphicFramePr>
        <xdr:cNvPr id="1" name="Chart 1"/>
        <xdr:cNvGraphicFramePr/>
      </xdr:nvGraphicFramePr>
      <xdr:xfrm>
        <a:off x="0" y="9363075"/>
        <a:ext cx="6410325" cy="4067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7</xdr:col>
      <xdr:colOff>371475</xdr:colOff>
      <xdr:row>74</xdr:row>
      <xdr:rowOff>19050</xdr:rowOff>
    </xdr:to>
    <xdr:graphicFrame>
      <xdr:nvGraphicFramePr>
        <xdr:cNvPr id="1" name="Chart 1"/>
        <xdr:cNvGraphicFramePr/>
      </xdr:nvGraphicFramePr>
      <xdr:xfrm>
        <a:off x="0" y="9363075"/>
        <a:ext cx="6410325" cy="4067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7</xdr:col>
      <xdr:colOff>371475</xdr:colOff>
      <xdr:row>74</xdr:row>
      <xdr:rowOff>19050</xdr:rowOff>
    </xdr:to>
    <xdr:graphicFrame>
      <xdr:nvGraphicFramePr>
        <xdr:cNvPr id="1" name="Chart 1"/>
        <xdr:cNvGraphicFramePr/>
      </xdr:nvGraphicFramePr>
      <xdr:xfrm>
        <a:off x="0" y="9363075"/>
        <a:ext cx="6410325" cy="4067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5</xdr:col>
      <xdr:colOff>9525</xdr:colOff>
      <xdr:row>54</xdr:row>
      <xdr:rowOff>19050</xdr:rowOff>
    </xdr:to>
    <xdr:graphicFrame>
      <xdr:nvGraphicFramePr>
        <xdr:cNvPr id="1" name="Chart 1"/>
        <xdr:cNvGraphicFramePr/>
      </xdr:nvGraphicFramePr>
      <xdr:xfrm>
        <a:off x="0" y="4257675"/>
        <a:ext cx="9553575"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0"/>
  <sheetViews>
    <sheetView zoomScale="125" zoomScaleNormal="125" workbookViewId="0" topLeftCell="A1">
      <selection activeCell="E24" sqref="E24"/>
    </sheetView>
  </sheetViews>
  <sheetFormatPr defaultColWidth="11.421875" defaultRowHeight="12.75"/>
  <sheetData>
    <row r="1" spans="1:11" s="19" customFormat="1" ht="23.25">
      <c r="A1" s="52" t="s">
        <v>42</v>
      </c>
      <c r="B1" s="52"/>
      <c r="C1" s="52"/>
      <c r="D1" s="52"/>
      <c r="E1" s="52"/>
      <c r="F1" s="52"/>
      <c r="G1" s="52"/>
      <c r="H1" s="52"/>
      <c r="I1" s="52"/>
      <c r="J1" s="52"/>
      <c r="K1" s="52"/>
    </row>
    <row r="2" ht="11.25" customHeight="1"/>
    <row r="3" spans="1:11" ht="12.75">
      <c r="A3" s="54" t="s">
        <v>73</v>
      </c>
      <c r="B3" s="55"/>
      <c r="C3" s="55"/>
      <c r="D3" s="55"/>
      <c r="E3" s="55"/>
      <c r="F3" s="55"/>
      <c r="G3" s="55"/>
      <c r="H3" s="55"/>
      <c r="I3" s="55"/>
      <c r="J3" s="55"/>
      <c r="K3" s="55"/>
    </row>
    <row r="4" spans="1:11" ht="12.75">
      <c r="A4" s="55"/>
      <c r="B4" s="55"/>
      <c r="C4" s="55"/>
      <c r="D4" s="55"/>
      <c r="E4" s="55"/>
      <c r="F4" s="55"/>
      <c r="G4" s="55"/>
      <c r="H4" s="55"/>
      <c r="I4" s="55"/>
      <c r="J4" s="55"/>
      <c r="K4" s="55"/>
    </row>
    <row r="5" spans="1:11" ht="12.75">
      <c r="A5" s="55"/>
      <c r="B5" s="55"/>
      <c r="C5" s="55"/>
      <c r="D5" s="55"/>
      <c r="E5" s="55"/>
      <c r="F5" s="55"/>
      <c r="G5" s="55"/>
      <c r="H5" s="55"/>
      <c r="I5" s="55"/>
      <c r="J5" s="55"/>
      <c r="K5" s="55"/>
    </row>
    <row r="7" spans="1:11" ht="12.75">
      <c r="A7" s="53" t="s">
        <v>96</v>
      </c>
      <c r="B7" s="53"/>
      <c r="C7" s="53"/>
      <c r="D7" s="53"/>
      <c r="E7" s="53"/>
      <c r="F7" s="53"/>
      <c r="G7" s="53"/>
      <c r="H7" s="53"/>
      <c r="I7" s="53"/>
      <c r="J7" s="53"/>
      <c r="K7" s="53"/>
    </row>
    <row r="8" spans="1:11" ht="12.75">
      <c r="A8" s="53"/>
      <c r="B8" s="53"/>
      <c r="C8" s="53"/>
      <c r="D8" s="53"/>
      <c r="E8" s="53"/>
      <c r="F8" s="53"/>
      <c r="G8" s="53"/>
      <c r="H8" s="53"/>
      <c r="I8" s="53"/>
      <c r="J8" s="53"/>
      <c r="K8" s="53"/>
    </row>
    <row r="9" spans="1:11" ht="12.75">
      <c r="A9" s="53"/>
      <c r="B9" s="53"/>
      <c r="C9" s="53"/>
      <c r="D9" s="53"/>
      <c r="E9" s="53"/>
      <c r="F9" s="53"/>
      <c r="G9" s="53"/>
      <c r="H9" s="53"/>
      <c r="I9" s="53"/>
      <c r="J9" s="53"/>
      <c r="K9" s="53"/>
    </row>
    <row r="10" spans="1:11" ht="12.75">
      <c r="A10" s="53"/>
      <c r="B10" s="53"/>
      <c r="C10" s="53"/>
      <c r="D10" s="53"/>
      <c r="E10" s="53"/>
      <c r="F10" s="53"/>
      <c r="G10" s="53"/>
      <c r="H10" s="53"/>
      <c r="I10" s="53"/>
      <c r="J10" s="53"/>
      <c r="K10" s="53"/>
    </row>
    <row r="11" spans="1:11" ht="12.75">
      <c r="A11" s="53"/>
      <c r="B11" s="53"/>
      <c r="C11" s="53"/>
      <c r="D11" s="53"/>
      <c r="E11" s="53"/>
      <c r="F11" s="53"/>
      <c r="G11" s="53"/>
      <c r="H11" s="53"/>
      <c r="I11" s="53"/>
      <c r="J11" s="53"/>
      <c r="K11" s="53"/>
    </row>
    <row r="12" spans="1:11" ht="12.75">
      <c r="A12" s="53"/>
      <c r="B12" s="53"/>
      <c r="C12" s="53"/>
      <c r="D12" s="53"/>
      <c r="E12" s="53"/>
      <c r="F12" s="53"/>
      <c r="G12" s="53"/>
      <c r="H12" s="53"/>
      <c r="I12" s="53"/>
      <c r="J12" s="53"/>
      <c r="K12" s="53"/>
    </row>
    <row r="13" spans="1:11" ht="12.75">
      <c r="A13" s="53"/>
      <c r="B13" s="53"/>
      <c r="C13" s="53"/>
      <c r="D13" s="53"/>
      <c r="E13" s="53"/>
      <c r="F13" s="53"/>
      <c r="G13" s="53"/>
      <c r="H13" s="53"/>
      <c r="I13" s="53"/>
      <c r="J13" s="53"/>
      <c r="K13" s="53"/>
    </row>
    <row r="14" spans="1:11" ht="12.75">
      <c r="A14" s="53"/>
      <c r="B14" s="53"/>
      <c r="C14" s="53"/>
      <c r="D14" s="53"/>
      <c r="E14" s="53"/>
      <c r="F14" s="53"/>
      <c r="G14" s="53"/>
      <c r="H14" s="53"/>
      <c r="I14" s="53"/>
      <c r="J14" s="53"/>
      <c r="K14" s="53"/>
    </row>
    <row r="15" spans="1:11" ht="12.75">
      <c r="A15" s="53"/>
      <c r="B15" s="53"/>
      <c r="C15" s="53"/>
      <c r="D15" s="53"/>
      <c r="E15" s="53"/>
      <c r="F15" s="53"/>
      <c r="G15" s="53"/>
      <c r="H15" s="53"/>
      <c r="I15" s="53"/>
      <c r="J15" s="53"/>
      <c r="K15" s="53"/>
    </row>
    <row r="16" spans="1:11" ht="12.75">
      <c r="A16" s="53"/>
      <c r="B16" s="53"/>
      <c r="C16" s="53"/>
      <c r="D16" s="53"/>
      <c r="E16" s="53"/>
      <c r="F16" s="53"/>
      <c r="G16" s="53"/>
      <c r="H16" s="53"/>
      <c r="I16" s="53"/>
      <c r="J16" s="53"/>
      <c r="K16" s="53"/>
    </row>
    <row r="17" spans="1:11" ht="12.75">
      <c r="A17" s="53"/>
      <c r="B17" s="53"/>
      <c r="C17" s="53"/>
      <c r="D17" s="53"/>
      <c r="E17" s="53"/>
      <c r="F17" s="53"/>
      <c r="G17" s="53"/>
      <c r="H17" s="53"/>
      <c r="I17" s="53"/>
      <c r="J17" s="53"/>
      <c r="K17" s="53"/>
    </row>
    <row r="18" spans="1:11" ht="12.75">
      <c r="A18" s="53"/>
      <c r="B18" s="53"/>
      <c r="C18" s="53"/>
      <c r="D18" s="53"/>
      <c r="E18" s="53"/>
      <c r="F18" s="53"/>
      <c r="G18" s="53"/>
      <c r="H18" s="53"/>
      <c r="I18" s="53"/>
      <c r="J18" s="53"/>
      <c r="K18" s="53"/>
    </row>
    <row r="19" spans="1:11" ht="12.75">
      <c r="A19" s="53"/>
      <c r="B19" s="53"/>
      <c r="C19" s="53"/>
      <c r="D19" s="53"/>
      <c r="E19" s="53"/>
      <c r="F19" s="53"/>
      <c r="G19" s="53"/>
      <c r="H19" s="53"/>
      <c r="I19" s="53"/>
      <c r="J19" s="53"/>
      <c r="K19" s="53"/>
    </row>
    <row r="20" spans="1:11" ht="71.25" customHeight="1">
      <c r="A20" s="53"/>
      <c r="B20" s="53"/>
      <c r="C20" s="53"/>
      <c r="D20" s="53"/>
      <c r="E20" s="53"/>
      <c r="F20" s="53"/>
      <c r="G20" s="53"/>
      <c r="H20" s="53"/>
      <c r="I20" s="53"/>
      <c r="J20" s="53"/>
      <c r="K20" s="53"/>
    </row>
  </sheetData>
  <sheetProtection password="DA8C" sheet="1" objects="1" scenarios="1" selectLockedCells="1"/>
  <mergeCells count="3">
    <mergeCell ref="A1:K1"/>
    <mergeCell ref="A7:K20"/>
    <mergeCell ref="A3:K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2"/>
  <sheetViews>
    <sheetView tabSelected="1" workbookViewId="0" topLeftCell="A1">
      <selection activeCell="C1" sqref="C1"/>
    </sheetView>
  </sheetViews>
  <sheetFormatPr defaultColWidth="11.421875" defaultRowHeight="12.75"/>
  <cols>
    <col min="1" max="1" width="50.421875" style="0" customWidth="1"/>
    <col min="2" max="2" width="12.00390625" style="0" customWidth="1"/>
    <col min="3" max="3" width="17.57421875" style="0" customWidth="1"/>
    <col min="9" max="9" width="40.28125" style="0" customWidth="1"/>
  </cols>
  <sheetData>
    <row r="1" spans="1:9" ht="45" customHeight="1">
      <c r="A1" s="21" t="s">
        <v>0</v>
      </c>
      <c r="B1" s="22" t="s">
        <v>12</v>
      </c>
      <c r="C1" s="20">
        <v>1080</v>
      </c>
      <c r="D1" s="56" t="s">
        <v>43</v>
      </c>
      <c r="E1" s="56"/>
      <c r="F1" s="56"/>
      <c r="G1" s="56"/>
      <c r="H1" s="56"/>
      <c r="I1" s="57"/>
    </row>
    <row r="2" spans="1:9" ht="147.75" customHeight="1">
      <c r="A2" s="21" t="s">
        <v>1</v>
      </c>
      <c r="B2" s="22" t="s">
        <v>10</v>
      </c>
      <c r="C2" s="20">
        <v>5</v>
      </c>
      <c r="D2" s="56" t="s">
        <v>97</v>
      </c>
      <c r="E2" s="56"/>
      <c r="F2" s="56"/>
      <c r="G2" s="56"/>
      <c r="H2" s="56"/>
      <c r="I2" s="57"/>
    </row>
    <row r="3" spans="1:9" ht="42" customHeight="1">
      <c r="A3" s="21" t="s">
        <v>21</v>
      </c>
      <c r="B3" s="22" t="s">
        <v>10</v>
      </c>
      <c r="C3" s="20">
        <v>0.8</v>
      </c>
      <c r="D3" s="56" t="s">
        <v>98</v>
      </c>
      <c r="E3" s="56"/>
      <c r="F3" s="56"/>
      <c r="G3" s="56"/>
      <c r="H3" s="56"/>
      <c r="I3" s="57"/>
    </row>
    <row r="4" spans="1:9" ht="21.75" customHeight="1">
      <c r="A4" s="21" t="s">
        <v>5</v>
      </c>
      <c r="B4" s="22" t="s">
        <v>10</v>
      </c>
      <c r="C4" s="20">
        <v>15</v>
      </c>
      <c r="D4" s="56" t="s">
        <v>60</v>
      </c>
      <c r="E4" s="56"/>
      <c r="F4" s="56"/>
      <c r="G4" s="56"/>
      <c r="H4" s="56"/>
      <c r="I4" s="57"/>
    </row>
    <row r="5" spans="1:9" ht="27.75" customHeight="1">
      <c r="A5" s="21" t="s">
        <v>24</v>
      </c>
      <c r="B5" s="22" t="s">
        <v>10</v>
      </c>
      <c r="C5" s="20">
        <v>20</v>
      </c>
      <c r="D5" s="56" t="s">
        <v>44</v>
      </c>
      <c r="E5" s="56"/>
      <c r="F5" s="56"/>
      <c r="G5" s="56"/>
      <c r="H5" s="56"/>
      <c r="I5" s="57"/>
    </row>
    <row r="6" spans="1:9" ht="27" customHeight="1">
      <c r="A6" s="21" t="s">
        <v>6</v>
      </c>
      <c r="B6" s="22" t="s">
        <v>13</v>
      </c>
      <c r="C6" s="20">
        <v>0.4675</v>
      </c>
      <c r="D6" s="56" t="s">
        <v>74</v>
      </c>
      <c r="E6" s="56"/>
      <c r="F6" s="56"/>
      <c r="G6" s="56"/>
      <c r="H6" s="56"/>
      <c r="I6" s="57"/>
    </row>
    <row r="7" spans="1:9" ht="28.5" customHeight="1">
      <c r="A7" s="21" t="s">
        <v>8</v>
      </c>
      <c r="B7" s="22" t="s">
        <v>11</v>
      </c>
      <c r="C7" s="20">
        <v>100</v>
      </c>
      <c r="D7" s="56" t="s">
        <v>59</v>
      </c>
      <c r="E7" s="56"/>
      <c r="F7" s="56"/>
      <c r="G7" s="56"/>
      <c r="H7" s="56"/>
      <c r="I7" s="57"/>
    </row>
    <row r="8" spans="1:9" ht="23.25" customHeight="1">
      <c r="A8" s="21" t="s">
        <v>27</v>
      </c>
      <c r="B8" s="22" t="s">
        <v>10</v>
      </c>
      <c r="C8" s="20">
        <v>1</v>
      </c>
      <c r="D8" s="56" t="s">
        <v>45</v>
      </c>
      <c r="E8" s="56"/>
      <c r="F8" s="56"/>
      <c r="G8" s="56"/>
      <c r="H8" s="56"/>
      <c r="I8" s="57"/>
    </row>
    <row r="9" spans="1:9" ht="60.75" customHeight="1">
      <c r="A9" s="21" t="s">
        <v>14</v>
      </c>
      <c r="B9" s="22" t="s">
        <v>10</v>
      </c>
      <c r="C9" s="20">
        <v>4.1</v>
      </c>
      <c r="D9" s="56" t="s">
        <v>94</v>
      </c>
      <c r="E9" s="56"/>
      <c r="F9" s="56"/>
      <c r="G9" s="56"/>
      <c r="H9" s="56"/>
      <c r="I9" s="57"/>
    </row>
    <row r="10" spans="1:9" ht="32.25" customHeight="1">
      <c r="A10" s="21" t="s">
        <v>66</v>
      </c>
      <c r="B10" s="22" t="s">
        <v>10</v>
      </c>
      <c r="C10" s="20">
        <v>6</v>
      </c>
      <c r="D10" s="56" t="s">
        <v>99</v>
      </c>
      <c r="E10" s="56"/>
      <c r="F10" s="56"/>
      <c r="G10" s="56"/>
      <c r="H10" s="56"/>
      <c r="I10" s="57"/>
    </row>
    <row r="11" spans="1:9" ht="32.25" customHeight="1">
      <c r="A11" s="21" t="s">
        <v>67</v>
      </c>
      <c r="B11" s="22" t="s">
        <v>93</v>
      </c>
      <c r="C11" s="20">
        <v>15</v>
      </c>
      <c r="D11" s="56" t="s">
        <v>100</v>
      </c>
      <c r="E11" s="56"/>
      <c r="F11" s="56"/>
      <c r="G11" s="56"/>
      <c r="H11" s="56"/>
      <c r="I11" s="57"/>
    </row>
    <row r="12" spans="1:9" ht="27.75" customHeight="1">
      <c r="A12" s="21" t="s">
        <v>15</v>
      </c>
      <c r="B12" s="22"/>
      <c r="C12" s="20">
        <v>2008</v>
      </c>
      <c r="D12" s="56" t="s">
        <v>57</v>
      </c>
      <c r="E12" s="56"/>
      <c r="F12" s="56"/>
      <c r="G12" s="56"/>
      <c r="H12" s="56"/>
      <c r="I12" s="57"/>
    </row>
  </sheetData>
  <sheetProtection password="DA8C" sheet="1" objects="1" scenarios="1" selectLockedCells="1"/>
  <protectedRanges>
    <protectedRange password="97F1" sqref="A1:B12 D1:I12" name="Bereich1"/>
  </protectedRanges>
  <mergeCells count="12">
    <mergeCell ref="D9:I9"/>
    <mergeCell ref="D12:I12"/>
    <mergeCell ref="D5:I5"/>
    <mergeCell ref="D6:I6"/>
    <mergeCell ref="D7:I7"/>
    <mergeCell ref="D8:I8"/>
    <mergeCell ref="D10:I10"/>
    <mergeCell ref="D11:I11"/>
    <mergeCell ref="D1:I1"/>
    <mergeCell ref="D2:I2"/>
    <mergeCell ref="D3:I3"/>
    <mergeCell ref="D4:I4"/>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73"/>
  <sheetViews>
    <sheetView workbookViewId="0" topLeftCell="A1">
      <selection activeCell="E9" sqref="E9"/>
    </sheetView>
  </sheetViews>
  <sheetFormatPr defaultColWidth="11.421875" defaultRowHeight="12.75"/>
  <cols>
    <col min="2" max="2" width="9.421875" style="0" customWidth="1"/>
    <col min="3" max="3" width="14.7109375" style="0" customWidth="1"/>
    <col min="4" max="4" width="11.140625" style="0" customWidth="1"/>
    <col min="5" max="5" width="21.00390625" style="0" customWidth="1"/>
    <col min="8" max="8" width="12.140625" style="0" customWidth="1"/>
    <col min="10" max="11" width="12.57421875" style="0" customWidth="1"/>
    <col min="13" max="13" width="12.7109375" style="0" customWidth="1"/>
    <col min="14" max="14" width="12.00390625" style="0" customWidth="1"/>
  </cols>
  <sheetData>
    <row r="1" spans="1:4" ht="20.25">
      <c r="A1" s="63" t="s">
        <v>35</v>
      </c>
      <c r="B1" s="64"/>
      <c r="C1" s="64"/>
      <c r="D1" s="9" t="s">
        <v>40</v>
      </c>
    </row>
    <row r="3" spans="1:12" s="15" customFormat="1" ht="15.75">
      <c r="A3" s="60" t="s">
        <v>34</v>
      </c>
      <c r="B3" s="60"/>
      <c r="C3" s="60"/>
      <c r="D3" s="23"/>
      <c r="E3" s="25" t="s">
        <v>89</v>
      </c>
      <c r="F3" s="58" t="s">
        <v>50</v>
      </c>
      <c r="G3" s="58"/>
      <c r="H3" s="58"/>
      <c r="I3" s="59"/>
      <c r="J3" s="59"/>
      <c r="K3" s="59"/>
      <c r="L3" s="59"/>
    </row>
    <row r="4" spans="1:12" s="15" customFormat="1" ht="15.75">
      <c r="A4" s="23" t="s">
        <v>16</v>
      </c>
      <c r="B4" s="23"/>
      <c r="C4" s="23"/>
      <c r="D4" s="23"/>
      <c r="E4" s="25">
        <v>25</v>
      </c>
      <c r="F4" s="58" t="s">
        <v>51</v>
      </c>
      <c r="G4" s="58"/>
      <c r="H4" s="58"/>
      <c r="I4" s="59"/>
      <c r="J4" s="59"/>
      <c r="K4" s="59"/>
      <c r="L4" s="59"/>
    </row>
    <row r="5" spans="1:12" s="15" customFormat="1" ht="15.75">
      <c r="A5" s="23" t="s">
        <v>17</v>
      </c>
      <c r="B5" s="23"/>
      <c r="C5" s="23"/>
      <c r="D5" s="23" t="s">
        <v>20</v>
      </c>
      <c r="E5" s="25">
        <v>1660</v>
      </c>
      <c r="F5" s="58" t="s">
        <v>52</v>
      </c>
      <c r="G5" s="58"/>
      <c r="H5" s="58"/>
      <c r="I5" s="59"/>
      <c r="J5" s="59"/>
      <c r="K5" s="59"/>
      <c r="L5" s="59"/>
    </row>
    <row r="6" spans="1:12" s="15" customFormat="1" ht="15.75">
      <c r="A6" s="23" t="s">
        <v>18</v>
      </c>
      <c r="B6" s="23"/>
      <c r="C6" s="23"/>
      <c r="D6" s="23" t="s">
        <v>20</v>
      </c>
      <c r="E6" s="25">
        <v>830</v>
      </c>
      <c r="F6" s="58" t="s">
        <v>53</v>
      </c>
      <c r="G6" s="58"/>
      <c r="H6" s="58"/>
      <c r="I6" s="59"/>
      <c r="J6" s="59"/>
      <c r="K6" s="59"/>
      <c r="L6" s="59"/>
    </row>
    <row r="7" spans="1:12" s="15" customFormat="1" ht="39" customHeight="1">
      <c r="A7" s="23" t="s">
        <v>19</v>
      </c>
      <c r="B7" s="23"/>
      <c r="C7" s="23"/>
      <c r="D7" s="23" t="s">
        <v>10</v>
      </c>
      <c r="E7" s="25">
        <v>95</v>
      </c>
      <c r="F7" s="58" t="s">
        <v>61</v>
      </c>
      <c r="G7" s="58"/>
      <c r="H7" s="58"/>
      <c r="I7" s="59"/>
      <c r="J7" s="59"/>
      <c r="K7" s="59"/>
      <c r="L7" s="59"/>
    </row>
    <row r="8" spans="1:12" s="15" customFormat="1" ht="15.75">
      <c r="A8" s="23" t="s">
        <v>54</v>
      </c>
      <c r="B8" s="23"/>
      <c r="C8" s="23"/>
      <c r="D8" s="23" t="s">
        <v>9</v>
      </c>
      <c r="E8" s="24">
        <f>E5*E6/1000000*E4*E7/100</f>
        <v>32.72275</v>
      </c>
      <c r="F8" s="58" t="s">
        <v>56</v>
      </c>
      <c r="G8" s="58"/>
      <c r="H8" s="58"/>
      <c r="I8" s="59"/>
      <c r="J8" s="59"/>
      <c r="K8" s="59"/>
      <c r="L8" s="59"/>
    </row>
    <row r="9" spans="1:12" s="15" customFormat="1" ht="15.75">
      <c r="A9" s="23" t="s">
        <v>2</v>
      </c>
      <c r="B9" s="23"/>
      <c r="C9" s="23"/>
      <c r="D9" s="23" t="s">
        <v>10</v>
      </c>
      <c r="E9" s="25">
        <v>13.9</v>
      </c>
      <c r="F9" s="58" t="s">
        <v>62</v>
      </c>
      <c r="G9" s="58"/>
      <c r="H9" s="58"/>
      <c r="I9" s="59"/>
      <c r="J9" s="59"/>
      <c r="K9" s="59"/>
      <c r="L9" s="59"/>
    </row>
    <row r="10" spans="1:12" s="15" customFormat="1" ht="15.75">
      <c r="A10" s="23" t="s">
        <v>3</v>
      </c>
      <c r="B10" s="23"/>
      <c r="C10" s="23"/>
      <c r="D10" s="23" t="s">
        <v>10</v>
      </c>
      <c r="E10" s="25">
        <v>95</v>
      </c>
      <c r="F10" s="58" t="s">
        <v>63</v>
      </c>
      <c r="G10" s="58"/>
      <c r="H10" s="58"/>
      <c r="I10" s="59"/>
      <c r="J10" s="59"/>
      <c r="K10" s="59"/>
      <c r="L10" s="59"/>
    </row>
    <row r="11" spans="1:12" s="15" customFormat="1" ht="15.75">
      <c r="A11" s="23" t="s">
        <v>4</v>
      </c>
      <c r="B11" s="23"/>
      <c r="C11" s="23"/>
      <c r="D11" s="23" t="s">
        <v>10</v>
      </c>
      <c r="E11" s="25">
        <v>0.2</v>
      </c>
      <c r="F11" s="58" t="s">
        <v>55</v>
      </c>
      <c r="G11" s="58"/>
      <c r="H11" s="58"/>
      <c r="I11" s="59"/>
      <c r="J11" s="59"/>
      <c r="K11" s="59"/>
      <c r="L11" s="59"/>
    </row>
    <row r="12" spans="1:12" s="15" customFormat="1" ht="15.75">
      <c r="A12" s="60" t="s">
        <v>7</v>
      </c>
      <c r="B12" s="60"/>
      <c r="C12" s="60"/>
      <c r="D12" s="23" t="s">
        <v>33</v>
      </c>
      <c r="E12" s="25">
        <v>23000</v>
      </c>
      <c r="F12" s="58" t="s">
        <v>64</v>
      </c>
      <c r="G12" s="58"/>
      <c r="H12" s="58"/>
      <c r="I12" s="59"/>
      <c r="J12" s="59"/>
      <c r="K12" s="59"/>
      <c r="L12" s="59"/>
    </row>
    <row r="13" spans="1:12" s="15" customFormat="1" ht="15.75">
      <c r="A13" s="60" t="s">
        <v>68</v>
      </c>
      <c r="B13" s="60"/>
      <c r="C13" s="60"/>
      <c r="D13" s="23" t="s">
        <v>33</v>
      </c>
      <c r="E13" s="25">
        <v>10000</v>
      </c>
      <c r="F13" s="58" t="s">
        <v>95</v>
      </c>
      <c r="G13" s="58"/>
      <c r="H13" s="58"/>
      <c r="I13" s="59"/>
      <c r="J13" s="59"/>
      <c r="K13" s="59"/>
      <c r="L13" s="59"/>
    </row>
    <row r="14" spans="1:12" s="15" customFormat="1" ht="15.75">
      <c r="A14" s="23" t="s">
        <v>69</v>
      </c>
      <c r="B14" s="23"/>
      <c r="C14" s="23"/>
      <c r="D14" s="23" t="s">
        <v>33</v>
      </c>
      <c r="E14" s="24">
        <f>E12-E13</f>
        <v>13000</v>
      </c>
      <c r="F14" s="58" t="s">
        <v>56</v>
      </c>
      <c r="G14" s="58"/>
      <c r="H14" s="58"/>
      <c r="I14" s="59"/>
      <c r="J14" s="59"/>
      <c r="K14" s="59"/>
      <c r="L14" s="59"/>
    </row>
    <row r="20" spans="1:3" ht="20.25">
      <c r="A20" s="63" t="s">
        <v>36</v>
      </c>
      <c r="B20" s="64"/>
      <c r="C20" s="64"/>
    </row>
    <row r="21" spans="1:16" ht="51">
      <c r="A21" s="3" t="s">
        <v>22</v>
      </c>
      <c r="B21" s="3" t="s">
        <v>22</v>
      </c>
      <c r="C21" s="3" t="s">
        <v>23</v>
      </c>
      <c r="D21" s="4" t="s">
        <v>25</v>
      </c>
      <c r="E21" s="4" t="s">
        <v>70</v>
      </c>
      <c r="F21" s="4" t="s">
        <v>71</v>
      </c>
      <c r="G21" s="4" t="s">
        <v>76</v>
      </c>
      <c r="H21" s="4" t="s">
        <v>26</v>
      </c>
      <c r="I21" s="4" t="s">
        <v>77</v>
      </c>
      <c r="J21" s="4" t="s">
        <v>28</v>
      </c>
      <c r="K21" s="4" t="s">
        <v>75</v>
      </c>
      <c r="L21" s="4" t="s">
        <v>29</v>
      </c>
      <c r="M21" s="4" t="s">
        <v>30</v>
      </c>
      <c r="N21" s="4" t="s">
        <v>31</v>
      </c>
      <c r="O21" s="11" t="s">
        <v>41</v>
      </c>
      <c r="P21" s="50" t="s">
        <v>48</v>
      </c>
    </row>
    <row r="22" spans="1:16" ht="12.75">
      <c r="A22" s="3"/>
      <c r="B22" s="3"/>
      <c r="C22" s="3" t="s">
        <v>32</v>
      </c>
      <c r="D22" s="4" t="s">
        <v>33</v>
      </c>
      <c r="E22" s="4" t="s">
        <v>33</v>
      </c>
      <c r="F22" s="4" t="s">
        <v>33</v>
      </c>
      <c r="G22" s="4" t="s">
        <v>33</v>
      </c>
      <c r="H22" s="4" t="s">
        <v>33</v>
      </c>
      <c r="I22" s="4" t="s">
        <v>33</v>
      </c>
      <c r="J22" s="4" t="s">
        <v>33</v>
      </c>
      <c r="K22" s="4" t="s">
        <v>33</v>
      </c>
      <c r="L22" s="4" t="s">
        <v>33</v>
      </c>
      <c r="M22" s="4" t="s">
        <v>33</v>
      </c>
      <c r="N22" s="4" t="s">
        <v>33</v>
      </c>
      <c r="O22" s="11" t="s">
        <v>33</v>
      </c>
      <c r="P22" s="51"/>
    </row>
    <row r="23" spans="1:16" ht="12.75">
      <c r="A23" s="2"/>
      <c r="B23" s="2"/>
      <c r="C23" s="2"/>
      <c r="O23" s="12"/>
      <c r="P23" s="51"/>
    </row>
    <row r="24" spans="1:16" ht="12.75">
      <c r="A24" s="1">
        <f>'Allgemeine Eingaben'!C12</f>
        <v>2008</v>
      </c>
      <c r="B24" s="1">
        <v>1</v>
      </c>
      <c r="C24" s="1">
        <f>ROUND('Allgemeine Eingaben'!$C$1*$E$8*(100-'Allgemeine Eingaben'!$C$2)/100*$E$9/100*$E$10/100*(100-$E$11)/100*(100-((B24-1))*'Allgemeine Eingaben'!$C$3)/100,0)</f>
        <v>4425</v>
      </c>
      <c r="D24" s="1">
        <f>$E$12*(100-'Allgemeine Eingaben'!$C$5)/100*(100-B24*5)/100</f>
        <v>17480</v>
      </c>
      <c r="E24" s="32">
        <f>IF(B24/'Allgemeine Eingaben'!$C$11&lt;=1,PMT('Allgemeine Eingaben'!$C$10/12/100,12*'Allgemeine Eingaben'!$C$11,$E$14)*(-1),0)</f>
        <v>109.70138764630073</v>
      </c>
      <c r="F24" s="32">
        <f>IF(B24/'Allgemeine Eingaben'!$C$11&lt;=1,(E24-$E$14/12/'Allgemeine Eingaben'!$C$11)*12,0)</f>
        <v>449.7499850889422</v>
      </c>
      <c r="G24" s="1">
        <f>$E$12-D24</f>
        <v>5520</v>
      </c>
      <c r="H24" s="1">
        <f>'Allgemeine Eingaben'!$C$7</f>
        <v>100</v>
      </c>
      <c r="I24" s="10">
        <f>C24*'Allgemeine Eingaben'!$C$6</f>
        <v>2068.6875</v>
      </c>
      <c r="J24" s="10">
        <f>I24-F24-H24-G24</f>
        <v>-4001.062485088942</v>
      </c>
      <c r="K24" s="10">
        <f>J24*'Allgemeine Eingaben'!$C$4/100</f>
        <v>-600.1593727633413</v>
      </c>
      <c r="L24" s="10">
        <f>I24-H24-K24-E24*12</f>
        <v>1252.4302210077326</v>
      </c>
      <c r="M24" s="10"/>
      <c r="N24" s="10">
        <f>$L$24</f>
        <v>1252.4302210077326</v>
      </c>
      <c r="O24" s="13">
        <f>$E$13+$E$13*'Allgemeine Eingaben'!$C$9/100</f>
        <v>10410</v>
      </c>
      <c r="P24" s="51">
        <f>$E$12</f>
        <v>23000</v>
      </c>
    </row>
    <row r="25" spans="1:16" ht="12.75">
      <c r="A25" s="1">
        <f>A24+1</f>
        <v>2009</v>
      </c>
      <c r="B25" s="1">
        <v>2</v>
      </c>
      <c r="C25" s="1">
        <f>ROUND('Allgemeine Eingaben'!$C$1*$E$8*(100-'Allgemeine Eingaben'!$C$2)/100*$E$9/100*$E$10/100*(100-$E$11)/100*(100-((B25-1))*'Allgemeine Eingaben'!$C$3)/100,0)</f>
        <v>4389</v>
      </c>
      <c r="D25" s="1">
        <f>$E$12*(100-'Allgemeine Eingaben'!$C$5)/100*(100-B25*5)/100</f>
        <v>16560</v>
      </c>
      <c r="E25" s="32">
        <f>IF(B25/'Allgemeine Eingaben'!$C$11&lt;=1,PMT('Allgemeine Eingaben'!$C$10/12/100,12*'Allgemeine Eingaben'!$C$11,$E$14)*(-1),0)</f>
        <v>109.70138764630073</v>
      </c>
      <c r="F25" s="32">
        <f>IF(B25/'Allgemeine Eingaben'!$C$11&lt;=1,(E25-$E$14/12/'Allgemeine Eingaben'!$C$11)*12,0)</f>
        <v>449.7499850889422</v>
      </c>
      <c r="G25" s="1">
        <f aca="true" t="shared" si="0" ref="G25:G43">D24-D25</f>
        <v>920</v>
      </c>
      <c r="H25" s="1">
        <f>ROUND(H24*(100+'Allgemeine Eingaben'!$C$8)/100,0)</f>
        <v>101</v>
      </c>
      <c r="I25" s="10">
        <f>C25*'Allgemeine Eingaben'!$C$6</f>
        <v>2051.8575</v>
      </c>
      <c r="J25" s="10">
        <f aca="true" t="shared" si="1" ref="J25:J44">I25-F25-H25-G25</f>
        <v>581.1075149110579</v>
      </c>
      <c r="K25" s="10">
        <f>J25*'Allgemeine Eingaben'!$C$4/100</f>
        <v>87.16612723665868</v>
      </c>
      <c r="L25" s="10">
        <f aca="true" t="shared" si="2" ref="L25:L44">I25-H25-K25-E25*12</f>
        <v>547.2747210077328</v>
      </c>
      <c r="M25" s="10">
        <f>N24*'Allgemeine Eingaben'!$C$9/100</f>
        <v>51.34963906131703</v>
      </c>
      <c r="N25" s="10">
        <f>N24+L25+M25</f>
        <v>1851.0545810767824</v>
      </c>
      <c r="O25" s="13">
        <f>O24+O24*'Allgemeine Eingaben'!$C$9/100</f>
        <v>10836.81</v>
      </c>
      <c r="P25" s="51">
        <f aca="true" t="shared" si="3" ref="P25:P44">$E$12</f>
        <v>23000</v>
      </c>
    </row>
    <row r="26" spans="1:16" ht="12.75">
      <c r="A26" s="1">
        <f aca="true" t="shared" si="4" ref="A26:A44">A25+1</f>
        <v>2010</v>
      </c>
      <c r="B26" s="1">
        <v>3</v>
      </c>
      <c r="C26" s="1">
        <f>ROUND('Allgemeine Eingaben'!$C$1*$E$8*(100-'Allgemeine Eingaben'!$C$2)/100*$E$9/100*$E$10/100*(100-$E$11)/100*(100-((B26-1))*'Allgemeine Eingaben'!$C$3)/100,0)</f>
        <v>4354</v>
      </c>
      <c r="D26" s="1">
        <f>$E$12*(100-'Allgemeine Eingaben'!$C$5)/100*(100-B26*5)/100</f>
        <v>15640</v>
      </c>
      <c r="E26" s="32">
        <f>IF(B26/'Allgemeine Eingaben'!$C$11&lt;=1,PMT('Allgemeine Eingaben'!$C$10/12/100,12*'Allgemeine Eingaben'!$C$11,$E$14)*(-1),0)</f>
        <v>109.70138764630073</v>
      </c>
      <c r="F26" s="32">
        <f>IF(B26/'Allgemeine Eingaben'!$C$11&lt;=1,(E26-$E$14/12/'Allgemeine Eingaben'!$C$11)*12,0)</f>
        <v>449.7499850889422</v>
      </c>
      <c r="G26" s="1">
        <f t="shared" si="0"/>
        <v>920</v>
      </c>
      <c r="H26" s="1">
        <f>ROUND(H25*(100+'Allgemeine Eingaben'!$C$8)/100,0)</f>
        <v>102</v>
      </c>
      <c r="I26" s="10">
        <f>C26*'Allgemeine Eingaben'!$C$6</f>
        <v>2035.4950000000001</v>
      </c>
      <c r="J26" s="10">
        <f t="shared" si="1"/>
        <v>563.745014911058</v>
      </c>
      <c r="K26" s="10">
        <f>J26*'Allgemeine Eingaben'!$C$4/100</f>
        <v>84.5617522366587</v>
      </c>
      <c r="L26" s="10">
        <f t="shared" si="2"/>
        <v>532.5165960077327</v>
      </c>
      <c r="M26" s="10">
        <f>N25*'Allgemeine Eingaben'!$C$9/100</f>
        <v>75.89323782414807</v>
      </c>
      <c r="N26" s="10">
        <f aca="true" t="shared" si="5" ref="N26:N44">N25+L26+M26</f>
        <v>2459.464414908663</v>
      </c>
      <c r="O26" s="13">
        <f>O25+O25*'Allgemeine Eingaben'!$C$9/100</f>
        <v>11281.119209999999</v>
      </c>
      <c r="P26" s="51">
        <f t="shared" si="3"/>
        <v>23000</v>
      </c>
    </row>
    <row r="27" spans="1:16" ht="12.75">
      <c r="A27" s="1">
        <f t="shared" si="4"/>
        <v>2011</v>
      </c>
      <c r="B27" s="1">
        <v>4</v>
      </c>
      <c r="C27" s="1">
        <f>ROUND('Allgemeine Eingaben'!$C$1*$E$8*(100-'Allgemeine Eingaben'!$C$2)/100*$E$9/100*$E$10/100*(100-$E$11)/100*(100-((B27-1))*'Allgemeine Eingaben'!$C$3)/100,0)</f>
        <v>4318</v>
      </c>
      <c r="D27" s="1">
        <f>$E$12*(100-'Allgemeine Eingaben'!$C$5)/100*(100-B27*5)/100</f>
        <v>14720</v>
      </c>
      <c r="E27" s="32">
        <f>IF(B27/'Allgemeine Eingaben'!$C$11&lt;=1,PMT('Allgemeine Eingaben'!$C$10/12/100,12*'Allgemeine Eingaben'!$C$11,$E$14)*(-1),0)</f>
        <v>109.70138764630073</v>
      </c>
      <c r="F27" s="32">
        <f>IF(B27/'Allgemeine Eingaben'!$C$11&lt;=1,(E27-$E$14/12/'Allgemeine Eingaben'!$C$11)*12,0)</f>
        <v>449.7499850889422</v>
      </c>
      <c r="G27" s="1">
        <f t="shared" si="0"/>
        <v>920</v>
      </c>
      <c r="H27" s="1">
        <f>ROUND(H26*(100+'Allgemeine Eingaben'!$C$8)/100,0)</f>
        <v>103</v>
      </c>
      <c r="I27" s="10">
        <f>C27*'Allgemeine Eingaben'!$C$6</f>
        <v>2018.6650000000002</v>
      </c>
      <c r="J27" s="10">
        <f t="shared" si="1"/>
        <v>545.915014911058</v>
      </c>
      <c r="K27" s="10">
        <f>J27*'Allgemeine Eingaben'!$C$4/100</f>
        <v>81.88725223665871</v>
      </c>
      <c r="L27" s="10">
        <f t="shared" si="2"/>
        <v>517.3610960077328</v>
      </c>
      <c r="M27" s="10">
        <f>N26*'Allgemeine Eingaben'!$C$9/100</f>
        <v>100.83804101125517</v>
      </c>
      <c r="N27" s="10">
        <f t="shared" si="5"/>
        <v>3077.6635519276506</v>
      </c>
      <c r="O27" s="13">
        <f>O26+O26*'Allgemeine Eingaben'!$C$9/100</f>
        <v>11743.645097609999</v>
      </c>
      <c r="P27" s="51">
        <f t="shared" si="3"/>
        <v>23000</v>
      </c>
    </row>
    <row r="28" spans="1:16" ht="12.75">
      <c r="A28" s="1">
        <f t="shared" si="4"/>
        <v>2012</v>
      </c>
      <c r="B28" s="1">
        <v>5</v>
      </c>
      <c r="C28" s="1">
        <f>ROUND('Allgemeine Eingaben'!$C$1*$E$8*(100-'Allgemeine Eingaben'!$C$2)/100*$E$9/100*$E$10/100*(100-$E$11)/100*(100-((B28-1))*'Allgemeine Eingaben'!$C$3)/100,0)</f>
        <v>4283</v>
      </c>
      <c r="D28" s="1">
        <f>$E$12*(100-'Allgemeine Eingaben'!$C$5)/100*(100-B28*5)/100</f>
        <v>13800</v>
      </c>
      <c r="E28" s="32">
        <f>IF(B28/'Allgemeine Eingaben'!$C$11&lt;=1,PMT('Allgemeine Eingaben'!$C$10/12/100,12*'Allgemeine Eingaben'!$C$11,$E$14)*(-1),0)</f>
        <v>109.70138764630073</v>
      </c>
      <c r="F28" s="32">
        <f>IF(B28/'Allgemeine Eingaben'!$C$11&lt;=1,(E28-$E$14/12/'Allgemeine Eingaben'!$C$11)*12,0)</f>
        <v>449.7499850889422</v>
      </c>
      <c r="G28" s="1">
        <f t="shared" si="0"/>
        <v>920</v>
      </c>
      <c r="H28" s="1">
        <f>ROUND(H27*(100+'Allgemeine Eingaben'!$C$8)/100,0)</f>
        <v>104</v>
      </c>
      <c r="I28" s="10">
        <f>C28*'Allgemeine Eingaben'!$C$6</f>
        <v>2002.3025</v>
      </c>
      <c r="J28" s="10">
        <f t="shared" si="1"/>
        <v>528.5525149110579</v>
      </c>
      <c r="K28" s="10">
        <f>J28*'Allgemeine Eingaben'!$C$4/100</f>
        <v>79.28287723665868</v>
      </c>
      <c r="L28" s="10">
        <f t="shared" si="2"/>
        <v>502.6029710077328</v>
      </c>
      <c r="M28" s="10">
        <f>N27*'Allgemeine Eingaben'!$C$9/100</f>
        <v>126.18420562903366</v>
      </c>
      <c r="N28" s="10">
        <f t="shared" si="5"/>
        <v>3706.450728564417</v>
      </c>
      <c r="O28" s="13">
        <f>O27+O27*'Allgemeine Eingaben'!$C$9/100</f>
        <v>12225.13454661201</v>
      </c>
      <c r="P28" s="51">
        <f t="shared" si="3"/>
        <v>23000</v>
      </c>
    </row>
    <row r="29" spans="1:16" ht="12.75">
      <c r="A29" s="1">
        <f t="shared" si="4"/>
        <v>2013</v>
      </c>
      <c r="B29" s="1">
        <v>6</v>
      </c>
      <c r="C29" s="1">
        <f>ROUND('Allgemeine Eingaben'!$C$1*$E$8*(100-'Allgemeine Eingaben'!$C$2)/100*$E$9/100*$E$10/100*(100-$E$11)/100*(100-((B29-1))*'Allgemeine Eingaben'!$C$3)/100,0)</f>
        <v>4248</v>
      </c>
      <c r="D29" s="1">
        <f>$E$12*(100-'Allgemeine Eingaben'!$C$5)/100*(100-B29*5)/100</f>
        <v>12880</v>
      </c>
      <c r="E29" s="32">
        <f>IF(B29/'Allgemeine Eingaben'!$C$11&lt;=1,PMT('Allgemeine Eingaben'!$C$10/12/100,12*'Allgemeine Eingaben'!$C$11,$E$14)*(-1),0)</f>
        <v>109.70138764630073</v>
      </c>
      <c r="F29" s="32">
        <f>IF(B29/'Allgemeine Eingaben'!$C$11&lt;=1,(E29-$E$14/12/'Allgemeine Eingaben'!$C$11)*12,0)</f>
        <v>449.7499850889422</v>
      </c>
      <c r="G29" s="1">
        <f t="shared" si="0"/>
        <v>920</v>
      </c>
      <c r="H29" s="1">
        <f>ROUND(H28*(100+'Allgemeine Eingaben'!$C$8)/100,0)</f>
        <v>105</v>
      </c>
      <c r="I29" s="10">
        <f>C29*'Allgemeine Eingaben'!$C$6</f>
        <v>1985.94</v>
      </c>
      <c r="J29" s="10">
        <f t="shared" si="1"/>
        <v>511.1900149110579</v>
      </c>
      <c r="K29" s="10">
        <f>J29*'Allgemeine Eingaben'!$C$4/100</f>
        <v>76.67850223665869</v>
      </c>
      <c r="L29" s="10">
        <f t="shared" si="2"/>
        <v>487.8448460077327</v>
      </c>
      <c r="M29" s="10">
        <f>N28*'Allgemeine Eingaben'!$C$9/100</f>
        <v>151.9644798711411</v>
      </c>
      <c r="N29" s="10">
        <f t="shared" si="5"/>
        <v>4346.260054443292</v>
      </c>
      <c r="O29" s="13">
        <f>O28+O28*'Allgemeine Eingaben'!$C$9/100</f>
        <v>12726.365063023102</v>
      </c>
      <c r="P29" s="51">
        <f t="shared" si="3"/>
        <v>23000</v>
      </c>
    </row>
    <row r="30" spans="1:16" ht="12.75">
      <c r="A30" s="1">
        <f t="shared" si="4"/>
        <v>2014</v>
      </c>
      <c r="B30" s="1">
        <v>7</v>
      </c>
      <c r="C30" s="1">
        <f>ROUND('Allgemeine Eingaben'!$C$1*$E$8*(100-'Allgemeine Eingaben'!$C$2)/100*$E$9/100*$E$10/100*(100-$E$11)/100*(100-((B30-1))*'Allgemeine Eingaben'!$C$3)/100,0)</f>
        <v>4212</v>
      </c>
      <c r="D30" s="1">
        <f>$E$12*(100-'Allgemeine Eingaben'!$C$5)/100*(100-B30*5)/100</f>
        <v>11960</v>
      </c>
      <c r="E30" s="32">
        <f>IF(B30/'Allgemeine Eingaben'!$C$11&lt;=1,PMT('Allgemeine Eingaben'!$C$10/12/100,12*'Allgemeine Eingaben'!$C$11,$E$14)*(-1),0)</f>
        <v>109.70138764630073</v>
      </c>
      <c r="F30" s="32">
        <f>IF(B30/'Allgemeine Eingaben'!$C$11&lt;=1,(E30-$E$14/12/'Allgemeine Eingaben'!$C$11)*12,0)</f>
        <v>449.7499850889422</v>
      </c>
      <c r="G30" s="1">
        <f t="shared" si="0"/>
        <v>920</v>
      </c>
      <c r="H30" s="1">
        <f>ROUND(H29*(100+'Allgemeine Eingaben'!$C$8)/100,0)</f>
        <v>106</v>
      </c>
      <c r="I30" s="10">
        <f>C30*'Allgemeine Eingaben'!$C$6</f>
        <v>1969.1100000000001</v>
      </c>
      <c r="J30" s="10">
        <f t="shared" si="1"/>
        <v>493.360014911058</v>
      </c>
      <c r="K30" s="10">
        <f>J30*'Allgemeine Eingaben'!$C$4/100</f>
        <v>74.00400223665869</v>
      </c>
      <c r="L30" s="10">
        <f t="shared" si="2"/>
        <v>472.68934600773287</v>
      </c>
      <c r="M30" s="10">
        <f>N29*'Allgemeine Eingaben'!$C$9/100</f>
        <v>178.19666223217493</v>
      </c>
      <c r="N30" s="10">
        <f t="shared" si="5"/>
        <v>4997.1460626831995</v>
      </c>
      <c r="O30" s="13">
        <f>O29+O29*'Allgemeine Eingaben'!$C$9/100</f>
        <v>13248.14603060705</v>
      </c>
      <c r="P30" s="51">
        <f t="shared" si="3"/>
        <v>23000</v>
      </c>
    </row>
    <row r="31" spans="1:16" ht="12.75">
      <c r="A31" s="1">
        <f t="shared" si="4"/>
        <v>2015</v>
      </c>
      <c r="B31" s="1">
        <v>8</v>
      </c>
      <c r="C31" s="1">
        <f>ROUND('Allgemeine Eingaben'!$C$1*$E$8*(100-'Allgemeine Eingaben'!$C$2)/100*$E$9/100*$E$10/100*(100-$E$11)/100*(100-((B31-1))*'Allgemeine Eingaben'!$C$3)/100,0)</f>
        <v>4177</v>
      </c>
      <c r="D31" s="1">
        <f>$E$12*(100-'Allgemeine Eingaben'!$C$5)/100*(100-B31*5)/100</f>
        <v>11040</v>
      </c>
      <c r="E31" s="32">
        <f>IF(B31/'Allgemeine Eingaben'!$C$11&lt;=1,PMT('Allgemeine Eingaben'!$C$10/12/100,12*'Allgemeine Eingaben'!$C$11,$E$14)*(-1),0)</f>
        <v>109.70138764630073</v>
      </c>
      <c r="F31" s="32">
        <f>IF(B31/'Allgemeine Eingaben'!$C$11&lt;=1,(E31-$E$14/12/'Allgemeine Eingaben'!$C$11)*12,0)</f>
        <v>449.7499850889422</v>
      </c>
      <c r="G31" s="1">
        <f t="shared" si="0"/>
        <v>920</v>
      </c>
      <c r="H31" s="1">
        <f>ROUND(H30*(100+'Allgemeine Eingaben'!$C$8)/100,0)</f>
        <v>107</v>
      </c>
      <c r="I31" s="10">
        <f>C31*'Allgemeine Eingaben'!$C$6</f>
        <v>1952.7475000000002</v>
      </c>
      <c r="J31" s="10">
        <f t="shared" si="1"/>
        <v>475.99751491105803</v>
      </c>
      <c r="K31" s="10">
        <f>J31*'Allgemeine Eingaben'!$C$4/100</f>
        <v>71.3996272366587</v>
      </c>
      <c r="L31" s="10">
        <f t="shared" si="2"/>
        <v>457.9312210077328</v>
      </c>
      <c r="M31" s="10">
        <f>N30*'Allgemeine Eingaben'!$C$9/100</f>
        <v>204.88298857001115</v>
      </c>
      <c r="N31" s="10">
        <f t="shared" si="5"/>
        <v>5659.960272260944</v>
      </c>
      <c r="O31" s="13">
        <f>O30+O30*'Allgemeine Eingaben'!$C$9/100</f>
        <v>13791.320017861939</v>
      </c>
      <c r="P31" s="51">
        <f t="shared" si="3"/>
        <v>23000</v>
      </c>
    </row>
    <row r="32" spans="1:16" ht="12.75">
      <c r="A32" s="1">
        <f t="shared" si="4"/>
        <v>2016</v>
      </c>
      <c r="B32" s="1">
        <v>9</v>
      </c>
      <c r="C32" s="1">
        <f>ROUND('Allgemeine Eingaben'!$C$1*$E$8*(100-'Allgemeine Eingaben'!$C$2)/100*$E$9/100*$E$10/100*(100-$E$11)/100*(100-((B32-1))*'Allgemeine Eingaben'!$C$3)/100,0)</f>
        <v>4141</v>
      </c>
      <c r="D32" s="1">
        <f>$E$12*(100-'Allgemeine Eingaben'!$C$5)/100*(100-B32*5)/100</f>
        <v>10120</v>
      </c>
      <c r="E32" s="32">
        <f>IF(B32/'Allgemeine Eingaben'!$C$11&lt;=1,PMT('Allgemeine Eingaben'!$C$10/12/100,12*'Allgemeine Eingaben'!$C$11,$E$14)*(-1),0)</f>
        <v>109.70138764630073</v>
      </c>
      <c r="F32" s="32">
        <f>IF(B32/'Allgemeine Eingaben'!$C$11&lt;=1,(E32-$E$14/12/'Allgemeine Eingaben'!$C$11)*12,0)</f>
        <v>449.7499850889422</v>
      </c>
      <c r="G32" s="1">
        <f t="shared" si="0"/>
        <v>920</v>
      </c>
      <c r="H32" s="1">
        <f>ROUND(H31*(100+'Allgemeine Eingaben'!$C$8)/100,0)</f>
        <v>108</v>
      </c>
      <c r="I32" s="10">
        <f>C32*'Allgemeine Eingaben'!$C$6</f>
        <v>1935.9175</v>
      </c>
      <c r="J32" s="10">
        <f t="shared" si="1"/>
        <v>458.1675149110579</v>
      </c>
      <c r="K32" s="10">
        <f>J32*'Allgemeine Eingaben'!$C$4/100</f>
        <v>68.72512723665868</v>
      </c>
      <c r="L32" s="10">
        <f t="shared" si="2"/>
        <v>442.7757210077327</v>
      </c>
      <c r="M32" s="10">
        <f>N31*'Allgemeine Eingaben'!$C$9/100</f>
        <v>232.0583711626987</v>
      </c>
      <c r="N32" s="10">
        <f t="shared" si="5"/>
        <v>6334.7943644313755</v>
      </c>
      <c r="O32" s="13">
        <f>O31+O31*'Allgemeine Eingaben'!$C$9/100</f>
        <v>14356.764138594279</v>
      </c>
      <c r="P32" s="51">
        <f t="shared" si="3"/>
        <v>23000</v>
      </c>
    </row>
    <row r="33" spans="1:16" ht="12.75">
      <c r="A33" s="1">
        <f t="shared" si="4"/>
        <v>2017</v>
      </c>
      <c r="B33" s="1">
        <v>10</v>
      </c>
      <c r="C33" s="1">
        <f>ROUND('Allgemeine Eingaben'!$C$1*$E$8*(100-'Allgemeine Eingaben'!$C$2)/100*$E$9/100*$E$10/100*(100-$E$11)/100*(100-((B33-1))*'Allgemeine Eingaben'!$C$3)/100,0)</f>
        <v>4106</v>
      </c>
      <c r="D33" s="1">
        <f>$E$12*(100-'Allgemeine Eingaben'!$C$5)/100*(100-B33*5)/100</f>
        <v>9200</v>
      </c>
      <c r="E33" s="32">
        <f>IF(B33/'Allgemeine Eingaben'!$C$11&lt;=1,PMT('Allgemeine Eingaben'!$C$10/12/100,12*'Allgemeine Eingaben'!$C$11,$E$14)*(-1),0)</f>
        <v>109.70138764630073</v>
      </c>
      <c r="F33" s="32">
        <f>IF(B33/'Allgemeine Eingaben'!$C$11&lt;=1,(E33-$E$14/12/'Allgemeine Eingaben'!$C$11)*12,0)</f>
        <v>449.7499850889422</v>
      </c>
      <c r="G33" s="1">
        <f t="shared" si="0"/>
        <v>920</v>
      </c>
      <c r="H33" s="1">
        <f>ROUND(H32*(100+'Allgemeine Eingaben'!$C$8)/100,0)</f>
        <v>109</v>
      </c>
      <c r="I33" s="10">
        <f>C33*'Allgemeine Eingaben'!$C$6</f>
        <v>1919.555</v>
      </c>
      <c r="J33" s="10">
        <f t="shared" si="1"/>
        <v>440.8050149110579</v>
      </c>
      <c r="K33" s="10">
        <f>J33*'Allgemeine Eingaben'!$C$4/100</f>
        <v>66.12075223665869</v>
      </c>
      <c r="L33" s="10">
        <f t="shared" si="2"/>
        <v>428.01759600773266</v>
      </c>
      <c r="M33" s="10">
        <f>N32*'Allgemeine Eingaben'!$C$9/100</f>
        <v>259.72656894168637</v>
      </c>
      <c r="N33" s="10">
        <f t="shared" si="5"/>
        <v>7022.538529380795</v>
      </c>
      <c r="O33" s="13">
        <f>O32+O32*'Allgemeine Eingaben'!$C$9/100</f>
        <v>14945.391468276644</v>
      </c>
      <c r="P33" s="51">
        <f t="shared" si="3"/>
        <v>23000</v>
      </c>
    </row>
    <row r="34" spans="1:16" ht="12.75">
      <c r="A34" s="1">
        <f t="shared" si="4"/>
        <v>2018</v>
      </c>
      <c r="B34" s="1">
        <v>11</v>
      </c>
      <c r="C34" s="1">
        <f>ROUND('Allgemeine Eingaben'!$C$1*$E$8*(100-'Allgemeine Eingaben'!$C$2)/100*$E$9/100*$E$10/100*(100-$E$11)/100*(100-((B34-1))*'Allgemeine Eingaben'!$C$3)/100,0)</f>
        <v>4071</v>
      </c>
      <c r="D34" s="1">
        <f>$E$12*(100-'Allgemeine Eingaben'!$C$5)/100*(100-B34*5)/100</f>
        <v>8280</v>
      </c>
      <c r="E34" s="32">
        <f>IF(B34/'Allgemeine Eingaben'!$C$11&lt;=1,PMT('Allgemeine Eingaben'!$C$10/12/100,12*'Allgemeine Eingaben'!$C$11,$E$14)*(-1),0)</f>
        <v>109.70138764630073</v>
      </c>
      <c r="F34" s="32">
        <f>IF(B34/'Allgemeine Eingaben'!$C$11&lt;=1,(E34-$E$14/12/'Allgemeine Eingaben'!$C$11)*12,0)</f>
        <v>449.7499850889422</v>
      </c>
      <c r="G34" s="1">
        <f t="shared" si="0"/>
        <v>920</v>
      </c>
      <c r="H34" s="1">
        <f>ROUND(H33*(100+'Allgemeine Eingaben'!$C$8)/100,0)</f>
        <v>110</v>
      </c>
      <c r="I34" s="10">
        <f>C34*'Allgemeine Eingaben'!$C$6</f>
        <v>1903.1925</v>
      </c>
      <c r="J34" s="10">
        <f t="shared" si="1"/>
        <v>423.44251491105797</v>
      </c>
      <c r="K34" s="10">
        <f>J34*'Allgemeine Eingaben'!$C$4/100</f>
        <v>63.5163772366587</v>
      </c>
      <c r="L34" s="10">
        <f t="shared" si="2"/>
        <v>413.2594710077328</v>
      </c>
      <c r="M34" s="10">
        <f>N33*'Allgemeine Eingaben'!$C$9/100</f>
        <v>287.92407970461255</v>
      </c>
      <c r="N34" s="10">
        <f t="shared" si="5"/>
        <v>7723.72208009314</v>
      </c>
      <c r="O34" s="13">
        <f>O33+O33*'Allgemeine Eingaben'!$C$9/100</f>
        <v>15558.152518475987</v>
      </c>
      <c r="P34" s="51">
        <f t="shared" si="3"/>
        <v>23000</v>
      </c>
    </row>
    <row r="35" spans="1:16" ht="12.75">
      <c r="A35" s="1">
        <f t="shared" si="4"/>
        <v>2019</v>
      </c>
      <c r="B35" s="1">
        <v>12</v>
      </c>
      <c r="C35" s="1">
        <f>ROUND('Allgemeine Eingaben'!$C$1*$E$8*(100-'Allgemeine Eingaben'!$C$2)/100*$E$9/100*$E$10/100*(100-$E$11)/100*(100-((B35-1))*'Allgemeine Eingaben'!$C$3)/100,0)</f>
        <v>4035</v>
      </c>
      <c r="D35" s="1">
        <f>$E$12*(100-'Allgemeine Eingaben'!$C$5)/100*(100-B35*5)/100</f>
        <v>7360</v>
      </c>
      <c r="E35" s="32">
        <f>IF(B35/'Allgemeine Eingaben'!$C$11&lt;=1,PMT('Allgemeine Eingaben'!$C$10/12/100,12*'Allgemeine Eingaben'!$C$11,$E$14)*(-1),0)</f>
        <v>109.70138764630073</v>
      </c>
      <c r="F35" s="32">
        <f>IF(B35/'Allgemeine Eingaben'!$C$11&lt;=1,(E35-$E$14/12/'Allgemeine Eingaben'!$C$11)*12,0)</f>
        <v>449.7499850889422</v>
      </c>
      <c r="G35" s="1">
        <f t="shared" si="0"/>
        <v>920</v>
      </c>
      <c r="H35" s="1">
        <f>ROUND(H34*(100+'Allgemeine Eingaben'!$C$8)/100,0)</f>
        <v>111</v>
      </c>
      <c r="I35" s="10">
        <f>C35*'Allgemeine Eingaben'!$C$6</f>
        <v>1886.3625000000002</v>
      </c>
      <c r="J35" s="10">
        <f t="shared" si="1"/>
        <v>405.61251491105804</v>
      </c>
      <c r="K35" s="10">
        <f>J35*'Allgemeine Eingaben'!$C$4/100</f>
        <v>60.84187723665871</v>
      </c>
      <c r="L35" s="10">
        <f t="shared" si="2"/>
        <v>398.10397100773275</v>
      </c>
      <c r="M35" s="10">
        <f>N34*'Allgemeine Eingaben'!$C$9/100</f>
        <v>316.6726052838187</v>
      </c>
      <c r="N35" s="10">
        <f t="shared" si="5"/>
        <v>8438.498656384692</v>
      </c>
      <c r="O35" s="13">
        <f>O34+O34*'Allgemeine Eingaben'!$C$9/100</f>
        <v>16196.036771733503</v>
      </c>
      <c r="P35" s="51">
        <f t="shared" si="3"/>
        <v>23000</v>
      </c>
    </row>
    <row r="36" spans="1:16" ht="12.75">
      <c r="A36" s="1">
        <f t="shared" si="4"/>
        <v>2020</v>
      </c>
      <c r="B36" s="1">
        <v>13</v>
      </c>
      <c r="C36" s="1">
        <f>ROUND('Allgemeine Eingaben'!$C$1*$E$8*(100-'Allgemeine Eingaben'!$C$2)/100*$E$9/100*$E$10/100*(100-$E$11)/100*(100-((B36-1))*'Allgemeine Eingaben'!$C$3)/100,0)</f>
        <v>4000</v>
      </c>
      <c r="D36" s="1">
        <f>$E$12*(100-'Allgemeine Eingaben'!$C$5)/100*(100-B36*5)/100</f>
        <v>6440</v>
      </c>
      <c r="E36" s="32">
        <f>IF(B36/'Allgemeine Eingaben'!$C$11&lt;=1,PMT('Allgemeine Eingaben'!$C$10/12/100,12*'Allgemeine Eingaben'!$C$11,$E$14)*(-1),0)</f>
        <v>109.70138764630073</v>
      </c>
      <c r="F36" s="32">
        <f>IF(B36/'Allgemeine Eingaben'!$C$11&lt;=1,(E36-$E$14/12/'Allgemeine Eingaben'!$C$11)*12,0)</f>
        <v>449.7499850889422</v>
      </c>
      <c r="G36" s="1">
        <f t="shared" si="0"/>
        <v>920</v>
      </c>
      <c r="H36" s="1">
        <f>ROUND(H35*(100+'Allgemeine Eingaben'!$C$8)/100,0)</f>
        <v>112</v>
      </c>
      <c r="I36" s="10">
        <f>C36*'Allgemeine Eingaben'!$C$6</f>
        <v>1870</v>
      </c>
      <c r="J36" s="10">
        <f t="shared" si="1"/>
        <v>388.25001491105786</v>
      </c>
      <c r="K36" s="10">
        <f>J36*'Allgemeine Eingaben'!$C$4/100</f>
        <v>58.23750223665868</v>
      </c>
      <c r="L36" s="10">
        <f t="shared" si="2"/>
        <v>383.3458460077327</v>
      </c>
      <c r="M36" s="10">
        <f>N35*'Allgemeine Eingaben'!$C$9/100</f>
        <v>345.9784449117724</v>
      </c>
      <c r="N36" s="10">
        <f t="shared" si="5"/>
        <v>9167.822947304197</v>
      </c>
      <c r="O36" s="13">
        <f>O35+O35*'Allgemeine Eingaben'!$C$9/100</f>
        <v>16860.074279374578</v>
      </c>
      <c r="P36" s="51">
        <f t="shared" si="3"/>
        <v>23000</v>
      </c>
    </row>
    <row r="37" spans="1:16" ht="12.75">
      <c r="A37" s="1">
        <f t="shared" si="4"/>
        <v>2021</v>
      </c>
      <c r="B37" s="1">
        <v>14</v>
      </c>
      <c r="C37" s="1">
        <f>ROUND('Allgemeine Eingaben'!$C$1*$E$8*(100-'Allgemeine Eingaben'!$C$2)/100*$E$9/100*$E$10/100*(100-$E$11)/100*(100-((B37-1))*'Allgemeine Eingaben'!$C$3)/100,0)</f>
        <v>3964</v>
      </c>
      <c r="D37" s="1">
        <f>$E$12*(100-'Allgemeine Eingaben'!$C$5)/100*(100-B37*5)/100</f>
        <v>5520</v>
      </c>
      <c r="E37" s="32">
        <f>IF(B37/'Allgemeine Eingaben'!$C$11&lt;=1,PMT('Allgemeine Eingaben'!$C$10/12/100,12*'Allgemeine Eingaben'!$C$11,$E$14)*(-1),0)</f>
        <v>109.70138764630073</v>
      </c>
      <c r="F37" s="32">
        <f>IF(B37/'Allgemeine Eingaben'!$C$11&lt;=1,(E37-$E$14/12/'Allgemeine Eingaben'!$C$11)*12,0)</f>
        <v>449.7499850889422</v>
      </c>
      <c r="G37" s="1">
        <f t="shared" si="0"/>
        <v>920</v>
      </c>
      <c r="H37" s="1">
        <f>ROUND(H36*(100+'Allgemeine Eingaben'!$C$8)/100,0)</f>
        <v>113</v>
      </c>
      <c r="I37" s="10">
        <f>C37*'Allgemeine Eingaben'!$C$6</f>
        <v>1853.17</v>
      </c>
      <c r="J37" s="10">
        <f t="shared" si="1"/>
        <v>370.42001491105793</v>
      </c>
      <c r="K37" s="10">
        <f>J37*'Allgemeine Eingaben'!$C$4/100</f>
        <v>55.56300223665868</v>
      </c>
      <c r="L37" s="10">
        <f t="shared" si="2"/>
        <v>368.19034600773284</v>
      </c>
      <c r="M37" s="10">
        <f>N36*'Allgemeine Eingaben'!$C$9/100</f>
        <v>375.8807408394721</v>
      </c>
      <c r="N37" s="10">
        <f t="shared" si="5"/>
        <v>9911.894034151403</v>
      </c>
      <c r="O37" s="13">
        <f>O36+O36*'Allgemeine Eingaben'!$C$9/100</f>
        <v>17551.337324828935</v>
      </c>
      <c r="P37" s="51">
        <f t="shared" si="3"/>
        <v>23000</v>
      </c>
    </row>
    <row r="38" spans="1:16" ht="12.75">
      <c r="A38" s="1">
        <f t="shared" si="4"/>
        <v>2022</v>
      </c>
      <c r="B38" s="1">
        <v>15</v>
      </c>
      <c r="C38" s="1">
        <f>ROUND('Allgemeine Eingaben'!$C$1*$E$8*(100-'Allgemeine Eingaben'!$C$2)/100*$E$9/100*$E$10/100*(100-$E$11)/100*(100-((B38-1))*'Allgemeine Eingaben'!$C$3)/100,0)</f>
        <v>3929</v>
      </c>
      <c r="D38" s="1">
        <f>$E$12*(100-'Allgemeine Eingaben'!$C$5)/100*(100-B38*5)/100</f>
        <v>4600</v>
      </c>
      <c r="E38" s="32">
        <f>IF(B38/'Allgemeine Eingaben'!$C$11&lt;=1,PMT('Allgemeine Eingaben'!$C$10/12/100,12*'Allgemeine Eingaben'!$C$11,$E$14)*(-1),0)</f>
        <v>109.70138764630073</v>
      </c>
      <c r="F38" s="32">
        <f>IF(B38/'Allgemeine Eingaben'!$C$11&lt;=1,(E38-$E$14/12/'Allgemeine Eingaben'!$C$11)*12,0)</f>
        <v>449.7499850889422</v>
      </c>
      <c r="G38" s="1">
        <f t="shared" si="0"/>
        <v>920</v>
      </c>
      <c r="H38" s="1">
        <f>ROUND(H37*(100+'Allgemeine Eingaben'!$C$8)/100,0)</f>
        <v>114</v>
      </c>
      <c r="I38" s="10">
        <f>C38*'Allgemeine Eingaben'!$C$6</f>
        <v>1836.8075000000001</v>
      </c>
      <c r="J38" s="10">
        <f t="shared" si="1"/>
        <v>353.057514911058</v>
      </c>
      <c r="K38" s="10">
        <f>J38*'Allgemeine Eingaben'!$C$4/100</f>
        <v>52.95862723665869</v>
      </c>
      <c r="L38" s="10">
        <f t="shared" si="2"/>
        <v>353.4322210077328</v>
      </c>
      <c r="M38" s="10">
        <f>N37*'Allgemeine Eingaben'!$C$9/100</f>
        <v>406.38765540020745</v>
      </c>
      <c r="N38" s="10">
        <f t="shared" si="5"/>
        <v>10671.713910559343</v>
      </c>
      <c r="O38" s="13">
        <f>O37+O37*'Allgemeine Eingaben'!$C$9/100</f>
        <v>18270.94215514692</v>
      </c>
      <c r="P38" s="51">
        <f t="shared" si="3"/>
        <v>23000</v>
      </c>
    </row>
    <row r="39" spans="1:16" ht="12.75">
      <c r="A39" s="1">
        <f t="shared" si="4"/>
        <v>2023</v>
      </c>
      <c r="B39" s="1">
        <v>16</v>
      </c>
      <c r="C39" s="1">
        <f>ROUND('Allgemeine Eingaben'!$C$1*$E$8*(100-'Allgemeine Eingaben'!$C$2)/100*$E$9/100*$E$10/100*(100-$E$11)/100*(100-((B39-1))*'Allgemeine Eingaben'!$C$3)/100,0)</f>
        <v>3894</v>
      </c>
      <c r="D39" s="1">
        <f>$E$12*(100-'Allgemeine Eingaben'!$C$5)/100*(100-B39*5)/100</f>
        <v>3680</v>
      </c>
      <c r="E39" s="32">
        <f>IF(B39/'Allgemeine Eingaben'!$C$11&lt;=1,PMT('Allgemeine Eingaben'!$C$10/12/100,12*'Allgemeine Eingaben'!$C$11,$E$14)*(-1),0)</f>
        <v>0</v>
      </c>
      <c r="F39" s="32">
        <f>IF(B39/'Allgemeine Eingaben'!$C$11&lt;=1,(E39-$E$14/12/'Allgemeine Eingaben'!$C$11)*12,0)</f>
        <v>0</v>
      </c>
      <c r="G39" s="1">
        <f t="shared" si="0"/>
        <v>920</v>
      </c>
      <c r="H39" s="1">
        <f>ROUND(H38*(100+'Allgemeine Eingaben'!$C$8)/100,0)</f>
        <v>115</v>
      </c>
      <c r="I39" s="10">
        <f>C39*'Allgemeine Eingaben'!$C$6</f>
        <v>1820.4450000000002</v>
      </c>
      <c r="J39" s="10">
        <f t="shared" si="1"/>
        <v>785.4450000000002</v>
      </c>
      <c r="K39" s="10">
        <f>J39*'Allgemeine Eingaben'!$C$4/100</f>
        <v>117.81675000000003</v>
      </c>
      <c r="L39" s="10">
        <f t="shared" si="2"/>
        <v>1587.6282500000002</v>
      </c>
      <c r="M39" s="10">
        <f>N38*'Allgemeine Eingaben'!$C$9/100</f>
        <v>437.54027033293306</v>
      </c>
      <c r="N39" s="10">
        <f t="shared" si="5"/>
        <v>12696.882430892276</v>
      </c>
      <c r="O39" s="13">
        <f>O38+O38*'Allgemeine Eingaben'!$C$9/100</f>
        <v>19020.050783507944</v>
      </c>
      <c r="P39" s="51">
        <f t="shared" si="3"/>
        <v>23000</v>
      </c>
    </row>
    <row r="40" spans="1:16" ht="12.75">
      <c r="A40" s="1">
        <f t="shared" si="4"/>
        <v>2024</v>
      </c>
      <c r="B40" s="1">
        <v>17</v>
      </c>
      <c r="C40" s="1">
        <f>ROUND('Allgemeine Eingaben'!$C$1*$E$8*(100-'Allgemeine Eingaben'!$C$2)/100*$E$9/100*$E$10/100*(100-$E$11)/100*(100-((B40-1))*'Allgemeine Eingaben'!$C$3)/100,0)</f>
        <v>3858</v>
      </c>
      <c r="D40" s="1">
        <f>$E$12*(100-'Allgemeine Eingaben'!$C$5)/100*(100-B40*5)/100</f>
        <v>2760</v>
      </c>
      <c r="E40" s="32">
        <f>IF(B40/'Allgemeine Eingaben'!$C$11&lt;=1,PMT('Allgemeine Eingaben'!$C$10/12/100,12*'Allgemeine Eingaben'!$C$11,$E$14)*(-1),0)</f>
        <v>0</v>
      </c>
      <c r="F40" s="32">
        <f>IF(B40/'Allgemeine Eingaben'!$C$11&lt;=1,(E40-$E$14/12/'Allgemeine Eingaben'!$C$11)*12,0)</f>
        <v>0</v>
      </c>
      <c r="G40" s="1">
        <f t="shared" si="0"/>
        <v>920</v>
      </c>
      <c r="H40" s="1">
        <f>ROUND(H39*(100+'Allgemeine Eingaben'!$C$8)/100,0)</f>
        <v>116</v>
      </c>
      <c r="I40" s="10">
        <f>C40*'Allgemeine Eingaben'!$C$6</f>
        <v>1803.615</v>
      </c>
      <c r="J40" s="10">
        <f t="shared" si="1"/>
        <v>767.615</v>
      </c>
      <c r="K40" s="10">
        <f>J40*'Allgemeine Eingaben'!$C$4/100</f>
        <v>115.14225</v>
      </c>
      <c r="L40" s="10">
        <f t="shared" si="2"/>
        <v>1572.47275</v>
      </c>
      <c r="M40" s="10">
        <f>N39*'Allgemeine Eingaben'!$C$9/100</f>
        <v>520.5721796665832</v>
      </c>
      <c r="N40" s="10">
        <f t="shared" si="5"/>
        <v>14789.927360558859</v>
      </c>
      <c r="O40" s="13">
        <f>O39+O39*'Allgemeine Eingaben'!$C$9/100</f>
        <v>19799.87286563177</v>
      </c>
      <c r="P40" s="51">
        <f t="shared" si="3"/>
        <v>23000</v>
      </c>
    </row>
    <row r="41" spans="1:16" ht="12.75">
      <c r="A41" s="1">
        <f t="shared" si="4"/>
        <v>2025</v>
      </c>
      <c r="B41" s="1">
        <v>18</v>
      </c>
      <c r="C41" s="1">
        <f>ROUND('Allgemeine Eingaben'!$C$1*$E$8*(100-'Allgemeine Eingaben'!$C$2)/100*$E$9/100*$E$10/100*(100-$E$11)/100*(100-((B41-1))*'Allgemeine Eingaben'!$C$3)/100,0)</f>
        <v>3823</v>
      </c>
      <c r="D41" s="1">
        <f>$E$12*(100-'Allgemeine Eingaben'!$C$5)/100*(100-B41*5)/100</f>
        <v>1840</v>
      </c>
      <c r="E41" s="32">
        <f>IF(B41/'Allgemeine Eingaben'!$C$11&lt;=1,PMT('Allgemeine Eingaben'!$C$10/12/100,12*'Allgemeine Eingaben'!$C$11,$E$14)*(-1),0)</f>
        <v>0</v>
      </c>
      <c r="F41" s="32">
        <f>IF(B41/'Allgemeine Eingaben'!$C$11&lt;=1,(E41-$E$14/12/'Allgemeine Eingaben'!$C$11)*12,0)</f>
        <v>0</v>
      </c>
      <c r="G41" s="1">
        <f t="shared" si="0"/>
        <v>920</v>
      </c>
      <c r="H41" s="1">
        <f>ROUND(H40*(100+'Allgemeine Eingaben'!$C$8)/100,0)</f>
        <v>117</v>
      </c>
      <c r="I41" s="10">
        <f>C41*'Allgemeine Eingaben'!$C$6</f>
        <v>1787.2525</v>
      </c>
      <c r="J41" s="10">
        <f t="shared" si="1"/>
        <v>750.2525</v>
      </c>
      <c r="K41" s="10">
        <f>J41*'Allgemeine Eingaben'!$C$4/100</f>
        <v>112.537875</v>
      </c>
      <c r="L41" s="10">
        <f t="shared" si="2"/>
        <v>1557.714625</v>
      </c>
      <c r="M41" s="10">
        <f>N40*'Allgemeine Eingaben'!$C$9/100</f>
        <v>606.3870217829132</v>
      </c>
      <c r="N41" s="10">
        <f t="shared" si="5"/>
        <v>16954.02900734177</v>
      </c>
      <c r="O41" s="13">
        <f>O40+O40*'Allgemeine Eingaben'!$C$9/100</f>
        <v>20611.667653122673</v>
      </c>
      <c r="P41" s="51">
        <f t="shared" si="3"/>
        <v>23000</v>
      </c>
    </row>
    <row r="42" spans="1:16" ht="12.75">
      <c r="A42" s="1">
        <f t="shared" si="4"/>
        <v>2026</v>
      </c>
      <c r="B42" s="1">
        <v>19</v>
      </c>
      <c r="C42" s="1">
        <f>ROUND('Allgemeine Eingaben'!$C$1*$E$8*(100-'Allgemeine Eingaben'!$C$2)/100*$E$9/100*$E$10/100*(100-$E$11)/100*(100-((B42-1))*'Allgemeine Eingaben'!$C$3)/100,0)</f>
        <v>3787</v>
      </c>
      <c r="D42" s="1">
        <f>$E$12*(100-'Allgemeine Eingaben'!$C$5)/100*(100-B42*5)/100</f>
        <v>920</v>
      </c>
      <c r="E42" s="32">
        <f>IF(B42/'Allgemeine Eingaben'!$C$11&lt;=1,PMT('Allgemeine Eingaben'!$C$10/12/100,12*'Allgemeine Eingaben'!$C$11,$E$14)*(-1),0)</f>
        <v>0</v>
      </c>
      <c r="F42" s="32">
        <f>IF(B42/'Allgemeine Eingaben'!$C$11&lt;=1,(E42-$E$14/12/'Allgemeine Eingaben'!$C$11)*12,0)</f>
        <v>0</v>
      </c>
      <c r="G42" s="1">
        <f t="shared" si="0"/>
        <v>920</v>
      </c>
      <c r="H42" s="1">
        <f>ROUND(H41*(100+'Allgemeine Eingaben'!$C$8)/100,0)</f>
        <v>118</v>
      </c>
      <c r="I42" s="10">
        <f>C42*'Allgemeine Eingaben'!$C$6</f>
        <v>1770.4225000000001</v>
      </c>
      <c r="J42" s="10">
        <f t="shared" si="1"/>
        <v>732.4225000000001</v>
      </c>
      <c r="K42" s="10">
        <f>J42*'Allgemeine Eingaben'!$C$4/100</f>
        <v>109.86337500000002</v>
      </c>
      <c r="L42" s="10">
        <f t="shared" si="2"/>
        <v>1542.5591250000002</v>
      </c>
      <c r="M42" s="10">
        <f>N41*'Allgemeine Eingaben'!$C$9/100</f>
        <v>695.1151893010126</v>
      </c>
      <c r="N42" s="10">
        <f t="shared" si="5"/>
        <v>19191.703321642784</v>
      </c>
      <c r="O42" s="13">
        <f>O41+O41*'Allgemeine Eingaben'!$C$9/100</f>
        <v>21456.746026900702</v>
      </c>
      <c r="P42" s="51">
        <f t="shared" si="3"/>
        <v>23000</v>
      </c>
    </row>
    <row r="43" spans="1:16" ht="12.75">
      <c r="A43" s="1">
        <f t="shared" si="4"/>
        <v>2027</v>
      </c>
      <c r="B43" s="1">
        <v>20</v>
      </c>
      <c r="C43" s="1">
        <f>ROUND('Allgemeine Eingaben'!$C$1*$E$8*(100-'Allgemeine Eingaben'!$C$2)/100*$E$9/100*$E$10/100*(100-$E$11)/100*(100-((B43-1))*'Allgemeine Eingaben'!$C$3)/100,0)</f>
        <v>3752</v>
      </c>
      <c r="D43" s="1">
        <f>$E$12*(100-'Allgemeine Eingaben'!$C$5)/100*(100-B43*5)/100</f>
        <v>0</v>
      </c>
      <c r="E43" s="32">
        <f>IF(B43/'Allgemeine Eingaben'!$C$11&lt;=1,PMT('Allgemeine Eingaben'!$C$10/12/100,12*'Allgemeine Eingaben'!$C$11,$E$14)*(-1),0)</f>
        <v>0</v>
      </c>
      <c r="F43" s="32">
        <f>IF(B43/'Allgemeine Eingaben'!$C$11&lt;=1,(E43-$E$14/12/'Allgemeine Eingaben'!$C$11)*12,0)</f>
        <v>0</v>
      </c>
      <c r="G43" s="1">
        <f t="shared" si="0"/>
        <v>920</v>
      </c>
      <c r="H43" s="1">
        <f>ROUND(H42*(100+'Allgemeine Eingaben'!$C$8)/100,0)</f>
        <v>119</v>
      </c>
      <c r="I43" s="10">
        <f>C43*'Allgemeine Eingaben'!$C$6</f>
        <v>1754.0600000000002</v>
      </c>
      <c r="J43" s="10">
        <f t="shared" si="1"/>
        <v>715.0600000000002</v>
      </c>
      <c r="K43" s="10">
        <f>J43*'Allgemeine Eingaben'!$C$4/100</f>
        <v>107.25900000000003</v>
      </c>
      <c r="L43" s="10">
        <f t="shared" si="2"/>
        <v>1527.8010000000002</v>
      </c>
      <c r="M43" s="10">
        <f>N42*'Allgemeine Eingaben'!$C$9/100</f>
        <v>786.8598361873541</v>
      </c>
      <c r="N43" s="10">
        <f t="shared" si="5"/>
        <v>21506.36415783014</v>
      </c>
      <c r="O43" s="13">
        <f>O42+O42*'Allgemeine Eingaben'!$C$9/100</f>
        <v>22336.472614003633</v>
      </c>
      <c r="P43" s="51">
        <f t="shared" si="3"/>
        <v>23000</v>
      </c>
    </row>
    <row r="44" spans="1:16" ht="12.75">
      <c r="A44" s="1">
        <f t="shared" si="4"/>
        <v>2028</v>
      </c>
      <c r="B44" s="1">
        <v>21</v>
      </c>
      <c r="C44" s="1">
        <f>ROUND('Allgemeine Eingaben'!$C$1*$E$8*(100-'Allgemeine Eingaben'!$C$2)/100*$E$9/100*$E$10/100*(100-$E$11)/100*(100-((B44-1))*'Allgemeine Eingaben'!$C$3)/100,0)</f>
        <v>3717</v>
      </c>
      <c r="D44" s="1">
        <f>0</f>
        <v>0</v>
      </c>
      <c r="E44" s="32">
        <f>IF(B44/'Allgemeine Eingaben'!$C$11&lt;=1,PMT('Allgemeine Eingaben'!$C$10/12/100,12*'Allgemeine Eingaben'!$C$11,$E$14)*(-1),0)</f>
        <v>0</v>
      </c>
      <c r="F44" s="32">
        <f>IF(B44/'Allgemeine Eingaben'!$C$11&lt;=1,(E44-$E$14/12/'Allgemeine Eingaben'!$C$11)*12,0)</f>
        <v>0</v>
      </c>
      <c r="G44" s="1">
        <v>0</v>
      </c>
      <c r="H44" s="1">
        <f>ROUND(H43*(100+'Allgemeine Eingaben'!$C$8)/100,0)</f>
        <v>120</v>
      </c>
      <c r="I44" s="10">
        <f>C44*'Allgemeine Eingaben'!$C$6</f>
        <v>1737.6975</v>
      </c>
      <c r="J44" s="10">
        <f t="shared" si="1"/>
        <v>1617.6975</v>
      </c>
      <c r="K44" s="10">
        <f>J44*'Allgemeine Eingaben'!$C$4/100</f>
        <v>242.654625</v>
      </c>
      <c r="L44" s="10">
        <f t="shared" si="2"/>
        <v>1375.042875</v>
      </c>
      <c r="M44" s="10">
        <f>N43*'Allgemeine Eingaben'!$C$9/100</f>
        <v>881.7609304710356</v>
      </c>
      <c r="N44" s="10">
        <f t="shared" si="5"/>
        <v>23763.167963301174</v>
      </c>
      <c r="O44" s="13">
        <f>O43+O43*'Allgemeine Eingaben'!$C$9/100</f>
        <v>23252.26799117778</v>
      </c>
      <c r="P44" s="51">
        <f t="shared" si="3"/>
        <v>23000</v>
      </c>
    </row>
    <row r="45" ht="12.75">
      <c r="L45" s="14"/>
    </row>
    <row r="46" ht="12.75">
      <c r="L46" s="14"/>
    </row>
    <row r="47" ht="12.75">
      <c r="L47" s="14"/>
    </row>
    <row r="48" ht="12.75">
      <c r="L48" s="14"/>
    </row>
    <row r="50" spans="1:12" ht="12.75">
      <c r="A50" s="3"/>
      <c r="B50" s="3"/>
      <c r="C50" s="3"/>
      <c r="D50" s="4"/>
      <c r="E50" s="4"/>
      <c r="F50" s="4"/>
      <c r="G50" s="4"/>
      <c r="H50" s="4"/>
      <c r="I50" s="4"/>
      <c r="J50" s="4"/>
      <c r="K50" s="4"/>
      <c r="L50" s="6"/>
    </row>
    <row r="51" spans="1:12" ht="12.75">
      <c r="A51" s="3"/>
      <c r="B51" s="3"/>
      <c r="C51" s="3"/>
      <c r="D51" s="4"/>
      <c r="E51" s="4"/>
      <c r="F51" s="4"/>
      <c r="G51" s="4"/>
      <c r="H51" s="4"/>
      <c r="I51" s="4"/>
      <c r="J51" s="4"/>
      <c r="K51" s="4"/>
      <c r="L51" s="4"/>
    </row>
    <row r="52" spans="1:12" ht="12.75">
      <c r="A52" s="2"/>
      <c r="B52" s="2"/>
      <c r="C52" s="2"/>
      <c r="L52" s="7"/>
    </row>
    <row r="53" spans="1:12" ht="12.75">
      <c r="A53" s="1"/>
      <c r="B53" s="1"/>
      <c r="C53" s="1"/>
      <c r="I53" s="5"/>
      <c r="J53" s="5"/>
      <c r="K53" s="5"/>
      <c r="L53" s="8"/>
    </row>
    <row r="54" spans="1:12" ht="12.75">
      <c r="A54" s="1"/>
      <c r="B54" s="1"/>
      <c r="C54" s="1"/>
      <c r="I54" s="5"/>
      <c r="J54" s="5"/>
      <c r="K54" s="5"/>
      <c r="L54" s="8"/>
    </row>
    <row r="55" spans="1:12" ht="12.75">
      <c r="A55" s="1"/>
      <c r="B55" s="1"/>
      <c r="C55" s="1"/>
      <c r="I55" s="5"/>
      <c r="J55" s="5"/>
      <c r="K55" s="5"/>
      <c r="L55" s="8"/>
    </row>
    <row r="56" spans="1:15" ht="12.75" customHeight="1">
      <c r="A56" s="1"/>
      <c r="B56" s="1"/>
      <c r="C56" s="1"/>
      <c r="I56" s="61" t="s">
        <v>65</v>
      </c>
      <c r="J56" s="62"/>
      <c r="K56" s="62"/>
      <c r="L56" s="62"/>
      <c r="M56" s="62"/>
      <c r="N56" s="62"/>
      <c r="O56" s="62"/>
    </row>
    <row r="57" spans="1:15" ht="12.75">
      <c r="A57" s="1"/>
      <c r="B57" s="1"/>
      <c r="C57" s="1"/>
      <c r="I57" s="62"/>
      <c r="J57" s="62"/>
      <c r="K57" s="62"/>
      <c r="L57" s="62"/>
      <c r="M57" s="62"/>
      <c r="N57" s="62"/>
      <c r="O57" s="62"/>
    </row>
    <row r="58" spans="1:15" ht="12.75">
      <c r="A58" s="1"/>
      <c r="B58" s="1"/>
      <c r="C58" s="1"/>
      <c r="I58" s="62"/>
      <c r="J58" s="62"/>
      <c r="K58" s="62"/>
      <c r="L58" s="62"/>
      <c r="M58" s="62"/>
      <c r="N58" s="62"/>
      <c r="O58" s="62"/>
    </row>
    <row r="59" spans="1:15" ht="12.75">
      <c r="A59" s="1"/>
      <c r="B59" s="1"/>
      <c r="C59" s="1"/>
      <c r="I59" s="62"/>
      <c r="J59" s="62"/>
      <c r="K59" s="62"/>
      <c r="L59" s="62"/>
      <c r="M59" s="62"/>
      <c r="N59" s="62"/>
      <c r="O59" s="62"/>
    </row>
    <row r="60" spans="1:15" ht="12.75">
      <c r="A60" s="1"/>
      <c r="B60" s="1"/>
      <c r="C60" s="1"/>
      <c r="I60" s="62"/>
      <c r="J60" s="62"/>
      <c r="K60" s="62"/>
      <c r="L60" s="62"/>
      <c r="M60" s="62"/>
      <c r="N60" s="62"/>
      <c r="O60" s="62"/>
    </row>
    <row r="61" spans="1:12" ht="12.75">
      <c r="A61" s="1"/>
      <c r="B61" s="1"/>
      <c r="C61" s="1"/>
      <c r="I61" s="5"/>
      <c r="J61" s="5"/>
      <c r="K61" s="5"/>
      <c r="L61" s="8"/>
    </row>
    <row r="62" spans="1:12" ht="12.75">
      <c r="A62" s="1"/>
      <c r="B62" s="1"/>
      <c r="C62" s="1"/>
      <c r="I62" s="5"/>
      <c r="J62" s="5"/>
      <c r="K62" s="5"/>
      <c r="L62" s="8"/>
    </row>
    <row r="63" spans="1:12" ht="12.75">
      <c r="A63" s="1"/>
      <c r="B63" s="1"/>
      <c r="C63" s="1"/>
      <c r="I63" s="5"/>
      <c r="J63" s="5"/>
      <c r="K63" s="5"/>
      <c r="L63" s="8"/>
    </row>
    <row r="64" spans="1:12" ht="12.75">
      <c r="A64" s="1"/>
      <c r="B64" s="1"/>
      <c r="C64" s="1"/>
      <c r="I64" s="5"/>
      <c r="J64" s="5"/>
      <c r="K64" s="5"/>
      <c r="L64" s="8"/>
    </row>
    <row r="65" spans="1:12" ht="12.75">
      <c r="A65" s="1"/>
      <c r="B65" s="1"/>
      <c r="C65" s="1"/>
      <c r="I65" s="5"/>
      <c r="J65" s="5"/>
      <c r="K65" s="5"/>
      <c r="L65" s="8"/>
    </row>
    <row r="66" spans="1:12" ht="12.75">
      <c r="A66" s="1"/>
      <c r="B66" s="1"/>
      <c r="C66" s="1"/>
      <c r="I66" s="5"/>
      <c r="J66" s="5"/>
      <c r="K66" s="5"/>
      <c r="L66" s="8"/>
    </row>
    <row r="67" spans="1:12" ht="12.75">
      <c r="A67" s="1"/>
      <c r="B67" s="1"/>
      <c r="C67" s="1"/>
      <c r="I67" s="5"/>
      <c r="J67" s="5"/>
      <c r="K67" s="5"/>
      <c r="L67" s="8"/>
    </row>
    <row r="68" spans="1:12" ht="12.75">
      <c r="A68" s="1"/>
      <c r="B68" s="1"/>
      <c r="C68" s="1"/>
      <c r="I68" s="5"/>
      <c r="J68" s="5"/>
      <c r="K68" s="5"/>
      <c r="L68" s="8"/>
    </row>
    <row r="69" spans="1:12" ht="12.75">
      <c r="A69" s="1"/>
      <c r="B69" s="1"/>
      <c r="C69" s="1"/>
      <c r="I69" s="5"/>
      <c r="J69" s="5"/>
      <c r="K69" s="5"/>
      <c r="L69" s="8"/>
    </row>
    <row r="70" spans="1:12" ht="12.75">
      <c r="A70" s="1"/>
      <c r="B70" s="1"/>
      <c r="C70" s="1"/>
      <c r="I70" s="5"/>
      <c r="J70" s="5"/>
      <c r="K70" s="5"/>
      <c r="L70" s="8"/>
    </row>
    <row r="71" spans="1:12" ht="12.75">
      <c r="A71" s="1"/>
      <c r="B71" s="1"/>
      <c r="C71" s="1"/>
      <c r="I71" s="5"/>
      <c r="J71" s="5"/>
      <c r="K71" s="5"/>
      <c r="L71" s="8"/>
    </row>
    <row r="72" spans="1:12" ht="12.75">
      <c r="A72" s="1"/>
      <c r="B72" s="1"/>
      <c r="C72" s="1"/>
      <c r="I72" s="5"/>
      <c r="J72" s="5"/>
      <c r="K72" s="5"/>
      <c r="L72" s="8"/>
    </row>
    <row r="73" spans="1:12" ht="12.75">
      <c r="A73" s="1"/>
      <c r="B73" s="1"/>
      <c r="C73" s="1"/>
      <c r="I73" s="5"/>
      <c r="J73" s="5"/>
      <c r="K73" s="5"/>
      <c r="L73" s="8"/>
    </row>
  </sheetData>
  <sheetProtection password="DA8C" sheet="1" objects="1" scenarios="1" selectLockedCells="1"/>
  <mergeCells count="18">
    <mergeCell ref="I56:O60"/>
    <mergeCell ref="A1:C1"/>
    <mergeCell ref="A20:C20"/>
    <mergeCell ref="F3:L3"/>
    <mergeCell ref="F4:L4"/>
    <mergeCell ref="F5:L5"/>
    <mergeCell ref="F6:L6"/>
    <mergeCell ref="F7:L7"/>
    <mergeCell ref="F8:L8"/>
    <mergeCell ref="F9:L9"/>
    <mergeCell ref="F14:L14"/>
    <mergeCell ref="A3:C3"/>
    <mergeCell ref="F10:L10"/>
    <mergeCell ref="F11:L11"/>
    <mergeCell ref="F13:L13"/>
    <mergeCell ref="A13:C13"/>
    <mergeCell ref="A12:C12"/>
    <mergeCell ref="F12:L12"/>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73"/>
  <sheetViews>
    <sheetView workbookViewId="0" topLeftCell="A1">
      <selection activeCell="B24" sqref="B24 E24 E14"/>
    </sheetView>
  </sheetViews>
  <sheetFormatPr defaultColWidth="11.421875" defaultRowHeight="12.75"/>
  <cols>
    <col min="5" max="5" width="22.00390625" style="0" customWidth="1"/>
    <col min="10" max="10" width="12.28125" style="0" customWidth="1"/>
    <col min="14" max="14" width="12.28125" style="0" customWidth="1"/>
  </cols>
  <sheetData>
    <row r="1" spans="1:4" ht="20.25">
      <c r="A1" s="63" t="s">
        <v>35</v>
      </c>
      <c r="B1" s="64"/>
      <c r="C1" s="64"/>
      <c r="D1" s="9" t="s">
        <v>46</v>
      </c>
    </row>
    <row r="3" spans="1:12" s="15" customFormat="1" ht="15.75">
      <c r="A3" s="60" t="s">
        <v>34</v>
      </c>
      <c r="B3" s="60"/>
      <c r="C3" s="60"/>
      <c r="D3" s="23"/>
      <c r="E3" s="25" t="s">
        <v>101</v>
      </c>
      <c r="F3" s="58" t="s">
        <v>50</v>
      </c>
      <c r="G3" s="58"/>
      <c r="H3" s="58"/>
      <c r="I3" s="59"/>
      <c r="J3" s="59"/>
      <c r="K3" s="59"/>
      <c r="L3" s="59"/>
    </row>
    <row r="4" spans="1:12" s="15" customFormat="1" ht="15.75">
      <c r="A4" s="23" t="s">
        <v>16</v>
      </c>
      <c r="B4" s="23"/>
      <c r="C4" s="23"/>
      <c r="D4" s="23"/>
      <c r="E4" s="25">
        <v>25</v>
      </c>
      <c r="F4" s="58" t="s">
        <v>51</v>
      </c>
      <c r="G4" s="58"/>
      <c r="H4" s="58"/>
      <c r="I4" s="59"/>
      <c r="J4" s="59"/>
      <c r="K4" s="59"/>
      <c r="L4" s="59"/>
    </row>
    <row r="5" spans="1:12" s="15" customFormat="1" ht="15.75">
      <c r="A5" s="23" t="s">
        <v>17</v>
      </c>
      <c r="B5" s="23"/>
      <c r="C5" s="23"/>
      <c r="D5" s="23" t="s">
        <v>20</v>
      </c>
      <c r="E5" s="25">
        <v>1660</v>
      </c>
      <c r="F5" s="58" t="s">
        <v>52</v>
      </c>
      <c r="G5" s="58"/>
      <c r="H5" s="58"/>
      <c r="I5" s="59"/>
      <c r="J5" s="59"/>
      <c r="K5" s="59"/>
      <c r="L5" s="59"/>
    </row>
    <row r="6" spans="1:12" s="15" customFormat="1" ht="15.75">
      <c r="A6" s="23" t="s">
        <v>18</v>
      </c>
      <c r="B6" s="23"/>
      <c r="C6" s="23"/>
      <c r="D6" s="23" t="s">
        <v>20</v>
      </c>
      <c r="E6" s="25">
        <v>830</v>
      </c>
      <c r="F6" s="58" t="s">
        <v>53</v>
      </c>
      <c r="G6" s="58"/>
      <c r="H6" s="58"/>
      <c r="I6" s="59"/>
      <c r="J6" s="59"/>
      <c r="K6" s="59"/>
      <c r="L6" s="59"/>
    </row>
    <row r="7" spans="1:12" s="15" customFormat="1" ht="39" customHeight="1">
      <c r="A7" s="23" t="s">
        <v>19</v>
      </c>
      <c r="B7" s="23"/>
      <c r="C7" s="23"/>
      <c r="D7" s="23" t="s">
        <v>10</v>
      </c>
      <c r="E7" s="25">
        <v>95</v>
      </c>
      <c r="F7" s="58" t="s">
        <v>61</v>
      </c>
      <c r="G7" s="58"/>
      <c r="H7" s="58"/>
      <c r="I7" s="59"/>
      <c r="J7" s="59"/>
      <c r="K7" s="59"/>
      <c r="L7" s="59"/>
    </row>
    <row r="8" spans="1:12" s="15" customFormat="1" ht="15.75">
      <c r="A8" s="23" t="s">
        <v>54</v>
      </c>
      <c r="B8" s="23"/>
      <c r="C8" s="23"/>
      <c r="D8" s="23" t="s">
        <v>9</v>
      </c>
      <c r="E8" s="24">
        <f>E5*E6/1000000*E4*E7/100</f>
        <v>32.72275</v>
      </c>
      <c r="F8" s="58" t="s">
        <v>56</v>
      </c>
      <c r="G8" s="58"/>
      <c r="H8" s="58"/>
      <c r="I8" s="59"/>
      <c r="J8" s="59"/>
      <c r="K8" s="59"/>
      <c r="L8" s="59"/>
    </row>
    <row r="9" spans="1:12" s="15" customFormat="1" ht="15.75">
      <c r="A9" s="23" t="s">
        <v>2</v>
      </c>
      <c r="B9" s="23"/>
      <c r="C9" s="23"/>
      <c r="D9" s="23" t="s">
        <v>10</v>
      </c>
      <c r="E9" s="25">
        <v>13.9</v>
      </c>
      <c r="F9" s="58" t="s">
        <v>62</v>
      </c>
      <c r="G9" s="58"/>
      <c r="H9" s="58"/>
      <c r="I9" s="59"/>
      <c r="J9" s="59"/>
      <c r="K9" s="59"/>
      <c r="L9" s="59"/>
    </row>
    <row r="10" spans="1:12" s="15" customFormat="1" ht="15.75">
      <c r="A10" s="23" t="s">
        <v>3</v>
      </c>
      <c r="B10" s="23"/>
      <c r="C10" s="23"/>
      <c r="D10" s="23" t="s">
        <v>10</v>
      </c>
      <c r="E10" s="25">
        <v>95</v>
      </c>
      <c r="F10" s="58" t="s">
        <v>63</v>
      </c>
      <c r="G10" s="58"/>
      <c r="H10" s="58"/>
      <c r="I10" s="59"/>
      <c r="J10" s="59"/>
      <c r="K10" s="59"/>
      <c r="L10" s="59"/>
    </row>
    <row r="11" spans="1:12" s="15" customFormat="1" ht="15.75">
      <c r="A11" s="23" t="s">
        <v>4</v>
      </c>
      <c r="B11" s="23"/>
      <c r="C11" s="23"/>
      <c r="D11" s="23" t="s">
        <v>10</v>
      </c>
      <c r="E11" s="25">
        <v>0.2</v>
      </c>
      <c r="F11" s="58" t="s">
        <v>55</v>
      </c>
      <c r="G11" s="58"/>
      <c r="H11" s="58"/>
      <c r="I11" s="59"/>
      <c r="J11" s="59"/>
      <c r="K11" s="59"/>
      <c r="L11" s="59"/>
    </row>
    <row r="12" spans="1:12" s="15" customFormat="1" ht="15.75">
      <c r="A12" s="60" t="s">
        <v>7</v>
      </c>
      <c r="B12" s="60"/>
      <c r="C12" s="60"/>
      <c r="D12" s="23" t="s">
        <v>33</v>
      </c>
      <c r="E12" s="25">
        <v>23000</v>
      </c>
      <c r="F12" s="58" t="s">
        <v>64</v>
      </c>
      <c r="G12" s="58"/>
      <c r="H12" s="58"/>
      <c r="I12" s="59"/>
      <c r="J12" s="59"/>
      <c r="K12" s="59"/>
      <c r="L12" s="59"/>
    </row>
    <row r="13" spans="1:12" s="15" customFormat="1" ht="15.75">
      <c r="A13" s="60" t="s">
        <v>68</v>
      </c>
      <c r="B13" s="60"/>
      <c r="C13" s="60"/>
      <c r="D13" s="23" t="s">
        <v>33</v>
      </c>
      <c r="E13" s="25">
        <v>23000</v>
      </c>
      <c r="F13" s="58" t="s">
        <v>95</v>
      </c>
      <c r="G13" s="58"/>
      <c r="H13" s="58"/>
      <c r="I13" s="59"/>
      <c r="J13" s="59"/>
      <c r="K13" s="59"/>
      <c r="L13" s="59"/>
    </row>
    <row r="14" spans="1:12" s="15" customFormat="1" ht="15.75">
      <c r="A14" s="23" t="s">
        <v>69</v>
      </c>
      <c r="B14" s="23"/>
      <c r="C14" s="23"/>
      <c r="D14" s="23" t="s">
        <v>33</v>
      </c>
      <c r="E14" s="24">
        <f>E12-E13</f>
        <v>0</v>
      </c>
      <c r="F14" s="58" t="s">
        <v>56</v>
      </c>
      <c r="G14" s="58"/>
      <c r="H14" s="58"/>
      <c r="I14" s="59"/>
      <c r="J14" s="59"/>
      <c r="K14" s="59"/>
      <c r="L14" s="59"/>
    </row>
    <row r="20" spans="1:3" ht="20.25">
      <c r="A20" s="63" t="s">
        <v>36</v>
      </c>
      <c r="B20" s="64"/>
      <c r="C20" s="64"/>
    </row>
    <row r="21" spans="1:16" ht="51">
      <c r="A21" s="3" t="s">
        <v>22</v>
      </c>
      <c r="B21" s="3" t="s">
        <v>22</v>
      </c>
      <c r="C21" s="3" t="s">
        <v>23</v>
      </c>
      <c r="D21" s="4" t="s">
        <v>25</v>
      </c>
      <c r="E21" s="4" t="s">
        <v>70</v>
      </c>
      <c r="F21" s="4" t="s">
        <v>71</v>
      </c>
      <c r="G21" s="4" t="s">
        <v>76</v>
      </c>
      <c r="H21" s="4" t="s">
        <v>26</v>
      </c>
      <c r="I21" s="4" t="s">
        <v>77</v>
      </c>
      <c r="J21" s="4" t="s">
        <v>28</v>
      </c>
      <c r="K21" s="4" t="s">
        <v>75</v>
      </c>
      <c r="L21" s="4" t="s">
        <v>29</v>
      </c>
      <c r="M21" s="4" t="s">
        <v>30</v>
      </c>
      <c r="N21" s="4" t="s">
        <v>31</v>
      </c>
      <c r="O21" s="11" t="s">
        <v>41</v>
      </c>
      <c r="P21" s="50" t="s">
        <v>48</v>
      </c>
    </row>
    <row r="22" spans="1:16" ht="12.75">
      <c r="A22" s="3"/>
      <c r="B22" s="3"/>
      <c r="C22" s="3" t="s">
        <v>32</v>
      </c>
      <c r="D22" s="4" t="s">
        <v>33</v>
      </c>
      <c r="E22" s="4" t="s">
        <v>33</v>
      </c>
      <c r="F22" s="4" t="s">
        <v>33</v>
      </c>
      <c r="G22" s="4" t="s">
        <v>33</v>
      </c>
      <c r="H22" s="4" t="s">
        <v>33</v>
      </c>
      <c r="I22" s="4" t="s">
        <v>33</v>
      </c>
      <c r="J22" s="4" t="s">
        <v>33</v>
      </c>
      <c r="K22" s="4" t="s">
        <v>33</v>
      </c>
      <c r="L22" s="4" t="s">
        <v>33</v>
      </c>
      <c r="M22" s="4" t="s">
        <v>33</v>
      </c>
      <c r="N22" s="4" t="s">
        <v>33</v>
      </c>
      <c r="O22" s="11" t="s">
        <v>33</v>
      </c>
      <c r="P22" s="51"/>
    </row>
    <row r="23" spans="1:16" ht="12.75">
      <c r="A23" s="2"/>
      <c r="B23" s="2"/>
      <c r="C23" s="2"/>
      <c r="O23" s="12"/>
      <c r="P23" s="51"/>
    </row>
    <row r="24" spans="1:16" ht="12.75">
      <c r="A24" s="1">
        <f>'Allgemeine Eingaben'!C12</f>
        <v>2008</v>
      </c>
      <c r="B24" s="1">
        <v>1</v>
      </c>
      <c r="C24" s="1">
        <f>ROUND('Allgemeine Eingaben'!$C$1*$E$8*(100-'Allgemeine Eingaben'!$C$2)/100*$E$9/100*$E$10/100*(100-$E$11)/100*(100-((B24-1))*'Allgemeine Eingaben'!$C$3)/100,0)</f>
        <v>4425</v>
      </c>
      <c r="D24" s="1">
        <f>$E$12*(100-'Allgemeine Eingaben'!$C$5)/100*(100-B24*5)/100</f>
        <v>17480</v>
      </c>
      <c r="E24" s="32">
        <f>IF(B24/'Allgemeine Eingaben'!$C$11&lt;=1,PMT('Allgemeine Eingaben'!$C$10/12/100,12*'Allgemeine Eingaben'!$C$11,$E$14)*(-1),0)</f>
        <v>0</v>
      </c>
      <c r="F24" s="32">
        <f>IF(B24/'Allgemeine Eingaben'!$C$11&lt;=1,(E24-$E$14/12/'Allgemeine Eingaben'!$C$11)*12,0)</f>
        <v>0</v>
      </c>
      <c r="G24" s="1">
        <f>$E$12-D24</f>
        <v>5520</v>
      </c>
      <c r="H24" s="1">
        <f>'Allgemeine Eingaben'!$C$7</f>
        <v>100</v>
      </c>
      <c r="I24" s="10">
        <f>C24*'Allgemeine Eingaben'!$C$6</f>
        <v>2068.6875</v>
      </c>
      <c r="J24" s="10">
        <f>I24-F24-H24-G24</f>
        <v>-3551.3125</v>
      </c>
      <c r="K24" s="10">
        <f>J24*'Allgemeine Eingaben'!$C$4/100</f>
        <v>-532.696875</v>
      </c>
      <c r="L24" s="10">
        <f>I24-H24-K24-E24*12</f>
        <v>2501.384375</v>
      </c>
      <c r="M24" s="10"/>
      <c r="N24" s="10">
        <f>$L$24</f>
        <v>2501.384375</v>
      </c>
      <c r="O24" s="13">
        <f>$E$13+$E$13*'Allgemeine Eingaben'!$C$9/100</f>
        <v>23943</v>
      </c>
      <c r="P24" s="51">
        <f>$E$12</f>
        <v>23000</v>
      </c>
    </row>
    <row r="25" spans="1:16" ht="12.75">
      <c r="A25" s="1">
        <f>A24+1</f>
        <v>2009</v>
      </c>
      <c r="B25" s="1">
        <v>2</v>
      </c>
      <c r="C25" s="1">
        <f>ROUND('Allgemeine Eingaben'!$C$1*$E$8*(100-'Allgemeine Eingaben'!$C$2)/100*$E$9/100*$E$10/100*(100-$E$11)/100*(100-((B25-1))*'Allgemeine Eingaben'!$C$3)/100,0)</f>
        <v>4389</v>
      </c>
      <c r="D25" s="1">
        <f>$E$12*(100-'Allgemeine Eingaben'!$C$5)/100*(100-B25*5)/100</f>
        <v>16560</v>
      </c>
      <c r="E25" s="32">
        <f>IF(B25/'Allgemeine Eingaben'!$C$11&lt;=1,PMT('Allgemeine Eingaben'!$C$10/12/100,12*'Allgemeine Eingaben'!$C$11,$E$14)*(-1),0)</f>
        <v>0</v>
      </c>
      <c r="F25" s="32">
        <f>IF(B25/'Allgemeine Eingaben'!$C$11&lt;=1,(E25-$E$14/12/'Allgemeine Eingaben'!$C$11)*12,0)</f>
        <v>0</v>
      </c>
      <c r="G25" s="1">
        <f aca="true" t="shared" si="0" ref="G25:G43">D24-D25</f>
        <v>920</v>
      </c>
      <c r="H25" s="1">
        <f>ROUND(H24*(100+'Allgemeine Eingaben'!$C$8)/100,0)</f>
        <v>101</v>
      </c>
      <c r="I25" s="10">
        <f>C25*'Allgemeine Eingaben'!$C$6</f>
        <v>2051.8575</v>
      </c>
      <c r="J25" s="10">
        <f aca="true" t="shared" si="1" ref="J25:J44">I25-F25-H25-G25</f>
        <v>1030.8575</v>
      </c>
      <c r="K25" s="10">
        <f>J25*'Allgemeine Eingaben'!$C$4/100</f>
        <v>154.628625</v>
      </c>
      <c r="L25" s="10">
        <f aca="true" t="shared" si="2" ref="L25:L44">I25-H25-K25-E25*12</f>
        <v>1796.228875</v>
      </c>
      <c r="M25" s="10">
        <f>N24*'Allgemeine Eingaben'!$C$9/100</f>
        <v>102.556759375</v>
      </c>
      <c r="N25" s="10">
        <f>N24+L25+M25</f>
        <v>4400.1700093750005</v>
      </c>
      <c r="O25" s="13">
        <f>O24+O24*'Allgemeine Eingaben'!$C$9/100</f>
        <v>24924.663</v>
      </c>
      <c r="P25" s="51">
        <f aca="true" t="shared" si="3" ref="P25:P44">$E$12</f>
        <v>23000</v>
      </c>
    </row>
    <row r="26" spans="1:16" ht="12.75">
      <c r="A26" s="1">
        <f aca="true" t="shared" si="4" ref="A26:A44">A25+1</f>
        <v>2010</v>
      </c>
      <c r="B26" s="1">
        <v>3</v>
      </c>
      <c r="C26" s="1">
        <f>ROUND('Allgemeine Eingaben'!$C$1*$E$8*(100-'Allgemeine Eingaben'!$C$2)/100*$E$9/100*$E$10/100*(100-$E$11)/100*(100-((B26-1))*'Allgemeine Eingaben'!$C$3)/100,0)</f>
        <v>4354</v>
      </c>
      <c r="D26" s="1">
        <f>$E$12*(100-'Allgemeine Eingaben'!$C$5)/100*(100-B26*5)/100</f>
        <v>15640</v>
      </c>
      <c r="E26" s="32">
        <f>IF(B26/'Allgemeine Eingaben'!$C$11&lt;=1,PMT('Allgemeine Eingaben'!$C$10/12/100,12*'Allgemeine Eingaben'!$C$11,$E$14)*(-1),0)</f>
        <v>0</v>
      </c>
      <c r="F26" s="32">
        <f>IF(B26/'Allgemeine Eingaben'!$C$11&lt;=1,(E26-$E$14/12/'Allgemeine Eingaben'!$C$11)*12,0)</f>
        <v>0</v>
      </c>
      <c r="G26" s="1">
        <f t="shared" si="0"/>
        <v>920</v>
      </c>
      <c r="H26" s="1">
        <f>ROUND(H25*(100+'Allgemeine Eingaben'!$C$8)/100,0)</f>
        <v>102</v>
      </c>
      <c r="I26" s="10">
        <f>C26*'Allgemeine Eingaben'!$C$6</f>
        <v>2035.4950000000001</v>
      </c>
      <c r="J26" s="10">
        <f t="shared" si="1"/>
        <v>1013.4950000000001</v>
      </c>
      <c r="K26" s="10">
        <f>J26*'Allgemeine Eingaben'!$C$4/100</f>
        <v>152.02425000000002</v>
      </c>
      <c r="L26" s="10">
        <f t="shared" si="2"/>
        <v>1781.4707500000002</v>
      </c>
      <c r="M26" s="10">
        <f>N25*'Allgemeine Eingaben'!$C$9/100</f>
        <v>180.40697038437503</v>
      </c>
      <c r="N26" s="10">
        <f aca="true" t="shared" si="5" ref="N26:N44">N25+L26+M26</f>
        <v>6362.047729759376</v>
      </c>
      <c r="O26" s="13">
        <f>O25+O25*'Allgemeine Eingaben'!$C$9/100</f>
        <v>25946.574183</v>
      </c>
      <c r="P26" s="51">
        <f t="shared" si="3"/>
        <v>23000</v>
      </c>
    </row>
    <row r="27" spans="1:16" ht="12.75">
      <c r="A27" s="1">
        <f t="shared" si="4"/>
        <v>2011</v>
      </c>
      <c r="B27" s="1">
        <v>4</v>
      </c>
      <c r="C27" s="1">
        <f>ROUND('Allgemeine Eingaben'!$C$1*$E$8*(100-'Allgemeine Eingaben'!$C$2)/100*$E$9/100*$E$10/100*(100-$E$11)/100*(100-((B27-1))*'Allgemeine Eingaben'!$C$3)/100,0)</f>
        <v>4318</v>
      </c>
      <c r="D27" s="1">
        <f>$E$12*(100-'Allgemeine Eingaben'!$C$5)/100*(100-B27*5)/100</f>
        <v>14720</v>
      </c>
      <c r="E27" s="32">
        <f>IF(B27/'Allgemeine Eingaben'!$C$11&lt;=1,PMT('Allgemeine Eingaben'!$C$10/12/100,12*'Allgemeine Eingaben'!$C$11,$E$14)*(-1),0)</f>
        <v>0</v>
      </c>
      <c r="F27" s="32">
        <f>IF(B27/'Allgemeine Eingaben'!$C$11&lt;=1,(E27-$E$14/12/'Allgemeine Eingaben'!$C$11)*12,0)</f>
        <v>0</v>
      </c>
      <c r="G27" s="1">
        <f t="shared" si="0"/>
        <v>920</v>
      </c>
      <c r="H27" s="1">
        <f>ROUND(H26*(100+'Allgemeine Eingaben'!$C$8)/100,0)</f>
        <v>103</v>
      </c>
      <c r="I27" s="10">
        <f>C27*'Allgemeine Eingaben'!$C$6</f>
        <v>2018.6650000000002</v>
      </c>
      <c r="J27" s="10">
        <f t="shared" si="1"/>
        <v>995.6650000000002</v>
      </c>
      <c r="K27" s="10">
        <f>J27*'Allgemeine Eingaben'!$C$4/100</f>
        <v>149.34975000000003</v>
      </c>
      <c r="L27" s="10">
        <f t="shared" si="2"/>
        <v>1766.31525</v>
      </c>
      <c r="M27" s="10">
        <f>N26*'Allgemeine Eingaben'!$C$9/100</f>
        <v>260.8439569201344</v>
      </c>
      <c r="N27" s="10">
        <f t="shared" si="5"/>
        <v>8389.206936679511</v>
      </c>
      <c r="O27" s="13">
        <f>O26+O26*'Allgemeine Eingaben'!$C$9/100</f>
        <v>27010.383724503</v>
      </c>
      <c r="P27" s="51">
        <f t="shared" si="3"/>
        <v>23000</v>
      </c>
    </row>
    <row r="28" spans="1:16" ht="12.75">
      <c r="A28" s="1">
        <f t="shared" si="4"/>
        <v>2012</v>
      </c>
      <c r="B28" s="1">
        <v>5</v>
      </c>
      <c r="C28" s="1">
        <f>ROUND('Allgemeine Eingaben'!$C$1*$E$8*(100-'Allgemeine Eingaben'!$C$2)/100*$E$9/100*$E$10/100*(100-$E$11)/100*(100-((B28-1))*'Allgemeine Eingaben'!$C$3)/100,0)</f>
        <v>4283</v>
      </c>
      <c r="D28" s="1">
        <f>$E$12*(100-'Allgemeine Eingaben'!$C$5)/100*(100-B28*5)/100</f>
        <v>13800</v>
      </c>
      <c r="E28" s="32">
        <f>IF(B28/'Allgemeine Eingaben'!$C$11&lt;=1,PMT('Allgemeine Eingaben'!$C$10/12/100,12*'Allgemeine Eingaben'!$C$11,$E$14)*(-1),0)</f>
        <v>0</v>
      </c>
      <c r="F28" s="32">
        <f>IF(B28/'Allgemeine Eingaben'!$C$11&lt;=1,(E28-$E$14/12/'Allgemeine Eingaben'!$C$11)*12,0)</f>
        <v>0</v>
      </c>
      <c r="G28" s="1">
        <f t="shared" si="0"/>
        <v>920</v>
      </c>
      <c r="H28" s="1">
        <f>ROUND(H27*(100+'Allgemeine Eingaben'!$C$8)/100,0)</f>
        <v>104</v>
      </c>
      <c r="I28" s="10">
        <f>C28*'Allgemeine Eingaben'!$C$6</f>
        <v>2002.3025</v>
      </c>
      <c r="J28" s="10">
        <f t="shared" si="1"/>
        <v>978.3025</v>
      </c>
      <c r="K28" s="10">
        <f>J28*'Allgemeine Eingaben'!$C$4/100</f>
        <v>146.745375</v>
      </c>
      <c r="L28" s="10">
        <f t="shared" si="2"/>
        <v>1751.557125</v>
      </c>
      <c r="M28" s="10">
        <f>N27*'Allgemeine Eingaben'!$C$9/100</f>
        <v>343.95748440385995</v>
      </c>
      <c r="N28" s="10">
        <f t="shared" si="5"/>
        <v>10484.72154608337</v>
      </c>
      <c r="O28" s="13">
        <f>O27+O27*'Allgemeine Eingaben'!$C$9/100</f>
        <v>28117.809457207622</v>
      </c>
      <c r="P28" s="51">
        <f t="shared" si="3"/>
        <v>23000</v>
      </c>
    </row>
    <row r="29" spans="1:16" ht="12.75">
      <c r="A29" s="1">
        <f t="shared" si="4"/>
        <v>2013</v>
      </c>
      <c r="B29" s="1">
        <v>6</v>
      </c>
      <c r="C29" s="1">
        <f>ROUND('Allgemeine Eingaben'!$C$1*$E$8*(100-'Allgemeine Eingaben'!$C$2)/100*$E$9/100*$E$10/100*(100-$E$11)/100*(100-((B29-1))*'Allgemeine Eingaben'!$C$3)/100,0)</f>
        <v>4248</v>
      </c>
      <c r="D29" s="1">
        <f>$E$12*(100-'Allgemeine Eingaben'!$C$5)/100*(100-B29*5)/100</f>
        <v>12880</v>
      </c>
      <c r="E29" s="32">
        <f>IF(B29/'Allgemeine Eingaben'!$C$11&lt;=1,PMT('Allgemeine Eingaben'!$C$10/12/100,12*'Allgemeine Eingaben'!$C$11,$E$14)*(-1),0)</f>
        <v>0</v>
      </c>
      <c r="F29" s="32">
        <f>IF(B29/'Allgemeine Eingaben'!$C$11&lt;=1,(E29-$E$14/12/'Allgemeine Eingaben'!$C$11)*12,0)</f>
        <v>0</v>
      </c>
      <c r="G29" s="1">
        <f t="shared" si="0"/>
        <v>920</v>
      </c>
      <c r="H29" s="1">
        <f>ROUND(H28*(100+'Allgemeine Eingaben'!$C$8)/100,0)</f>
        <v>105</v>
      </c>
      <c r="I29" s="10">
        <f>C29*'Allgemeine Eingaben'!$C$6</f>
        <v>1985.94</v>
      </c>
      <c r="J29" s="10">
        <f t="shared" si="1"/>
        <v>960.94</v>
      </c>
      <c r="K29" s="10">
        <f>J29*'Allgemeine Eingaben'!$C$4/100</f>
        <v>144.141</v>
      </c>
      <c r="L29" s="10">
        <f t="shared" si="2"/>
        <v>1736.799</v>
      </c>
      <c r="M29" s="10">
        <f>N28*'Allgemeine Eingaben'!$C$9/100</f>
        <v>429.8735833894181</v>
      </c>
      <c r="N29" s="10">
        <f t="shared" si="5"/>
        <v>12651.39412947279</v>
      </c>
      <c r="O29" s="13">
        <f>O28+O28*'Allgemeine Eingaben'!$C$9/100</f>
        <v>29270.639644953135</v>
      </c>
      <c r="P29" s="51">
        <f t="shared" si="3"/>
        <v>23000</v>
      </c>
    </row>
    <row r="30" spans="1:16" ht="12.75">
      <c r="A30" s="1">
        <f t="shared" si="4"/>
        <v>2014</v>
      </c>
      <c r="B30" s="1">
        <v>7</v>
      </c>
      <c r="C30" s="1">
        <f>ROUND('Allgemeine Eingaben'!$C$1*$E$8*(100-'Allgemeine Eingaben'!$C$2)/100*$E$9/100*$E$10/100*(100-$E$11)/100*(100-((B30-1))*'Allgemeine Eingaben'!$C$3)/100,0)</f>
        <v>4212</v>
      </c>
      <c r="D30" s="1">
        <f>$E$12*(100-'Allgemeine Eingaben'!$C$5)/100*(100-B30*5)/100</f>
        <v>11960</v>
      </c>
      <c r="E30" s="32">
        <f>IF(B30/'Allgemeine Eingaben'!$C$11&lt;=1,PMT('Allgemeine Eingaben'!$C$10/12/100,12*'Allgemeine Eingaben'!$C$11,$E$14)*(-1),0)</f>
        <v>0</v>
      </c>
      <c r="F30" s="32">
        <f>IF(B30/'Allgemeine Eingaben'!$C$11&lt;=1,(E30-$E$14/12/'Allgemeine Eingaben'!$C$11)*12,0)</f>
        <v>0</v>
      </c>
      <c r="G30" s="1">
        <f t="shared" si="0"/>
        <v>920</v>
      </c>
      <c r="H30" s="1">
        <f>ROUND(H29*(100+'Allgemeine Eingaben'!$C$8)/100,0)</f>
        <v>106</v>
      </c>
      <c r="I30" s="10">
        <f>C30*'Allgemeine Eingaben'!$C$6</f>
        <v>1969.1100000000001</v>
      </c>
      <c r="J30" s="10">
        <f t="shared" si="1"/>
        <v>943.1100000000001</v>
      </c>
      <c r="K30" s="10">
        <f>J30*'Allgemeine Eingaben'!$C$4/100</f>
        <v>141.46650000000002</v>
      </c>
      <c r="L30" s="10">
        <f t="shared" si="2"/>
        <v>1721.6435000000001</v>
      </c>
      <c r="M30" s="10">
        <f>N29*'Allgemeine Eingaben'!$C$9/100</f>
        <v>518.7071593083843</v>
      </c>
      <c r="N30" s="10">
        <f t="shared" si="5"/>
        <v>14891.744788781174</v>
      </c>
      <c r="O30" s="13">
        <f>O29+O29*'Allgemeine Eingaben'!$C$9/100</f>
        <v>30470.735870396213</v>
      </c>
      <c r="P30" s="51">
        <f t="shared" si="3"/>
        <v>23000</v>
      </c>
    </row>
    <row r="31" spans="1:16" ht="12.75">
      <c r="A31" s="1">
        <f t="shared" si="4"/>
        <v>2015</v>
      </c>
      <c r="B31" s="1">
        <v>8</v>
      </c>
      <c r="C31" s="1">
        <f>ROUND('Allgemeine Eingaben'!$C$1*$E$8*(100-'Allgemeine Eingaben'!$C$2)/100*$E$9/100*$E$10/100*(100-$E$11)/100*(100-((B31-1))*'Allgemeine Eingaben'!$C$3)/100,0)</f>
        <v>4177</v>
      </c>
      <c r="D31" s="1">
        <f>$E$12*(100-'Allgemeine Eingaben'!$C$5)/100*(100-B31*5)/100</f>
        <v>11040</v>
      </c>
      <c r="E31" s="32">
        <f>IF(B31/'Allgemeine Eingaben'!$C$11&lt;=1,PMT('Allgemeine Eingaben'!$C$10/12/100,12*'Allgemeine Eingaben'!$C$11,$E$14)*(-1),0)</f>
        <v>0</v>
      </c>
      <c r="F31" s="32">
        <f>IF(B31/'Allgemeine Eingaben'!$C$11&lt;=1,(E31-$E$14/12/'Allgemeine Eingaben'!$C$11)*12,0)</f>
        <v>0</v>
      </c>
      <c r="G31" s="1">
        <f t="shared" si="0"/>
        <v>920</v>
      </c>
      <c r="H31" s="1">
        <f>ROUND(H30*(100+'Allgemeine Eingaben'!$C$8)/100,0)</f>
        <v>107</v>
      </c>
      <c r="I31" s="10">
        <f>C31*'Allgemeine Eingaben'!$C$6</f>
        <v>1952.7475000000002</v>
      </c>
      <c r="J31" s="10">
        <f t="shared" si="1"/>
        <v>925.7475000000002</v>
      </c>
      <c r="K31" s="10">
        <f>J31*'Allgemeine Eingaben'!$C$4/100</f>
        <v>138.86212500000002</v>
      </c>
      <c r="L31" s="10">
        <f t="shared" si="2"/>
        <v>1706.885375</v>
      </c>
      <c r="M31" s="10">
        <f>N30*'Allgemeine Eingaben'!$C$9/100</f>
        <v>610.561536340028</v>
      </c>
      <c r="N31" s="10">
        <f t="shared" si="5"/>
        <v>17209.191700121202</v>
      </c>
      <c r="O31" s="13">
        <f>O30+O30*'Allgemeine Eingaben'!$C$9/100</f>
        <v>31720.036041082458</v>
      </c>
      <c r="P31" s="51">
        <f t="shared" si="3"/>
        <v>23000</v>
      </c>
    </row>
    <row r="32" spans="1:16" ht="12.75">
      <c r="A32" s="1">
        <f t="shared" si="4"/>
        <v>2016</v>
      </c>
      <c r="B32" s="1">
        <v>9</v>
      </c>
      <c r="C32" s="1">
        <f>ROUND('Allgemeine Eingaben'!$C$1*$E$8*(100-'Allgemeine Eingaben'!$C$2)/100*$E$9/100*$E$10/100*(100-$E$11)/100*(100-((B32-1))*'Allgemeine Eingaben'!$C$3)/100,0)</f>
        <v>4141</v>
      </c>
      <c r="D32" s="1">
        <f>$E$12*(100-'Allgemeine Eingaben'!$C$5)/100*(100-B32*5)/100</f>
        <v>10120</v>
      </c>
      <c r="E32" s="32">
        <f>IF(B32/'Allgemeine Eingaben'!$C$11&lt;=1,PMT('Allgemeine Eingaben'!$C$10/12/100,12*'Allgemeine Eingaben'!$C$11,$E$14)*(-1),0)</f>
        <v>0</v>
      </c>
      <c r="F32" s="32">
        <f>IF(B32/'Allgemeine Eingaben'!$C$11&lt;=1,(E32-$E$14/12/'Allgemeine Eingaben'!$C$11)*12,0)</f>
        <v>0</v>
      </c>
      <c r="G32" s="1">
        <f t="shared" si="0"/>
        <v>920</v>
      </c>
      <c r="H32" s="1">
        <f>ROUND(H31*(100+'Allgemeine Eingaben'!$C$8)/100,0)</f>
        <v>108</v>
      </c>
      <c r="I32" s="10">
        <f>C32*'Allgemeine Eingaben'!$C$6</f>
        <v>1935.9175</v>
      </c>
      <c r="J32" s="10">
        <f t="shared" si="1"/>
        <v>907.9175</v>
      </c>
      <c r="K32" s="10">
        <f>J32*'Allgemeine Eingaben'!$C$4/100</f>
        <v>136.187625</v>
      </c>
      <c r="L32" s="10">
        <f t="shared" si="2"/>
        <v>1691.729875</v>
      </c>
      <c r="M32" s="10">
        <f>N31*'Allgemeine Eingaben'!$C$9/100</f>
        <v>705.5768597049693</v>
      </c>
      <c r="N32" s="10">
        <f t="shared" si="5"/>
        <v>19606.49843482617</v>
      </c>
      <c r="O32" s="13">
        <f>O31+O31*'Allgemeine Eingaben'!$C$9/100</f>
        <v>33020.55751876684</v>
      </c>
      <c r="P32" s="51">
        <f t="shared" si="3"/>
        <v>23000</v>
      </c>
    </row>
    <row r="33" spans="1:16" ht="12.75">
      <c r="A33" s="1">
        <f t="shared" si="4"/>
        <v>2017</v>
      </c>
      <c r="B33" s="1">
        <v>10</v>
      </c>
      <c r="C33" s="1">
        <f>ROUND('Allgemeine Eingaben'!$C$1*$E$8*(100-'Allgemeine Eingaben'!$C$2)/100*$E$9/100*$E$10/100*(100-$E$11)/100*(100-((B33-1))*'Allgemeine Eingaben'!$C$3)/100,0)</f>
        <v>4106</v>
      </c>
      <c r="D33" s="1">
        <f>$E$12*(100-'Allgemeine Eingaben'!$C$5)/100*(100-B33*5)/100</f>
        <v>9200</v>
      </c>
      <c r="E33" s="32">
        <f>IF(B33/'Allgemeine Eingaben'!$C$11&lt;=1,PMT('Allgemeine Eingaben'!$C$10/12/100,12*'Allgemeine Eingaben'!$C$11,$E$14)*(-1),0)</f>
        <v>0</v>
      </c>
      <c r="F33" s="32">
        <f>IF(B33/'Allgemeine Eingaben'!$C$11&lt;=1,(E33-$E$14/12/'Allgemeine Eingaben'!$C$11)*12,0)</f>
        <v>0</v>
      </c>
      <c r="G33" s="1">
        <f t="shared" si="0"/>
        <v>920</v>
      </c>
      <c r="H33" s="1">
        <f>ROUND(H32*(100+'Allgemeine Eingaben'!$C$8)/100,0)</f>
        <v>109</v>
      </c>
      <c r="I33" s="10">
        <f>C33*'Allgemeine Eingaben'!$C$6</f>
        <v>1919.555</v>
      </c>
      <c r="J33" s="10">
        <f t="shared" si="1"/>
        <v>890.5550000000001</v>
      </c>
      <c r="K33" s="10">
        <f>J33*'Allgemeine Eingaben'!$C$4/100</f>
        <v>133.58325000000002</v>
      </c>
      <c r="L33" s="10">
        <f t="shared" si="2"/>
        <v>1676.9717500000002</v>
      </c>
      <c r="M33" s="10">
        <f>N32*'Allgemeine Eingaben'!$C$9/100</f>
        <v>803.8664358278729</v>
      </c>
      <c r="N33" s="10">
        <f t="shared" si="5"/>
        <v>22087.336620654045</v>
      </c>
      <c r="O33" s="13">
        <f>O32+O32*'Allgemeine Eingaben'!$C$9/100</f>
        <v>34374.400377036276</v>
      </c>
      <c r="P33" s="51">
        <f t="shared" si="3"/>
        <v>23000</v>
      </c>
    </row>
    <row r="34" spans="1:16" ht="12.75">
      <c r="A34" s="1">
        <f t="shared" si="4"/>
        <v>2018</v>
      </c>
      <c r="B34" s="1">
        <v>11</v>
      </c>
      <c r="C34" s="1">
        <f>ROUND('Allgemeine Eingaben'!$C$1*$E$8*(100-'Allgemeine Eingaben'!$C$2)/100*$E$9/100*$E$10/100*(100-$E$11)/100*(100-((B34-1))*'Allgemeine Eingaben'!$C$3)/100,0)</f>
        <v>4071</v>
      </c>
      <c r="D34" s="1">
        <f>$E$12*(100-'Allgemeine Eingaben'!$C$5)/100*(100-B34*5)/100</f>
        <v>8280</v>
      </c>
      <c r="E34" s="32">
        <f>IF(B34/'Allgemeine Eingaben'!$C$11&lt;=1,PMT('Allgemeine Eingaben'!$C$10/12/100,12*'Allgemeine Eingaben'!$C$11,$E$14)*(-1),0)</f>
        <v>0</v>
      </c>
      <c r="F34" s="32">
        <f>IF(B34/'Allgemeine Eingaben'!$C$11&lt;=1,(E34-$E$14/12/'Allgemeine Eingaben'!$C$11)*12,0)</f>
        <v>0</v>
      </c>
      <c r="G34" s="1">
        <f t="shared" si="0"/>
        <v>920</v>
      </c>
      <c r="H34" s="1">
        <f>ROUND(H33*(100+'Allgemeine Eingaben'!$C$8)/100,0)</f>
        <v>110</v>
      </c>
      <c r="I34" s="10">
        <f>C34*'Allgemeine Eingaben'!$C$6</f>
        <v>1903.1925</v>
      </c>
      <c r="J34" s="10">
        <f t="shared" si="1"/>
        <v>873.1925000000001</v>
      </c>
      <c r="K34" s="10">
        <f>J34*'Allgemeine Eingaben'!$C$4/100</f>
        <v>130.97887500000002</v>
      </c>
      <c r="L34" s="10">
        <f t="shared" si="2"/>
        <v>1662.213625</v>
      </c>
      <c r="M34" s="10">
        <f>N33*'Allgemeine Eingaben'!$C$9/100</f>
        <v>905.5808014468157</v>
      </c>
      <c r="N34" s="10">
        <f t="shared" si="5"/>
        <v>24655.131047100862</v>
      </c>
      <c r="O34" s="13">
        <f>O33+O33*'Allgemeine Eingaben'!$C$9/100</f>
        <v>35783.750792494764</v>
      </c>
      <c r="P34" s="51">
        <f t="shared" si="3"/>
        <v>23000</v>
      </c>
    </row>
    <row r="35" spans="1:16" ht="12.75">
      <c r="A35" s="1">
        <f t="shared" si="4"/>
        <v>2019</v>
      </c>
      <c r="B35" s="1">
        <v>12</v>
      </c>
      <c r="C35" s="1">
        <f>ROUND('Allgemeine Eingaben'!$C$1*$E$8*(100-'Allgemeine Eingaben'!$C$2)/100*$E$9/100*$E$10/100*(100-$E$11)/100*(100-((B35-1))*'Allgemeine Eingaben'!$C$3)/100,0)</f>
        <v>4035</v>
      </c>
      <c r="D35" s="1">
        <f>$E$12*(100-'Allgemeine Eingaben'!$C$5)/100*(100-B35*5)/100</f>
        <v>7360</v>
      </c>
      <c r="E35" s="32">
        <f>IF(B35/'Allgemeine Eingaben'!$C$11&lt;=1,PMT('Allgemeine Eingaben'!$C$10/12/100,12*'Allgemeine Eingaben'!$C$11,$E$14)*(-1),0)</f>
        <v>0</v>
      </c>
      <c r="F35" s="32">
        <f>IF(B35/'Allgemeine Eingaben'!$C$11&lt;=1,(E35-$E$14/12/'Allgemeine Eingaben'!$C$11)*12,0)</f>
        <v>0</v>
      </c>
      <c r="G35" s="1">
        <f t="shared" si="0"/>
        <v>920</v>
      </c>
      <c r="H35" s="1">
        <f>ROUND(H34*(100+'Allgemeine Eingaben'!$C$8)/100,0)</f>
        <v>111</v>
      </c>
      <c r="I35" s="10">
        <f>C35*'Allgemeine Eingaben'!$C$6</f>
        <v>1886.3625000000002</v>
      </c>
      <c r="J35" s="10">
        <f t="shared" si="1"/>
        <v>855.3625000000002</v>
      </c>
      <c r="K35" s="10">
        <f>J35*'Allgemeine Eingaben'!$C$4/100</f>
        <v>128.30437500000005</v>
      </c>
      <c r="L35" s="10">
        <f t="shared" si="2"/>
        <v>1647.058125</v>
      </c>
      <c r="M35" s="10">
        <f>N34*'Allgemeine Eingaben'!$C$9/100</f>
        <v>1010.8603729311352</v>
      </c>
      <c r="N35" s="10">
        <f t="shared" si="5"/>
        <v>27313.049545031998</v>
      </c>
      <c r="O35" s="13">
        <f>O34+O34*'Allgemeine Eingaben'!$C$9/100</f>
        <v>37250.88457498705</v>
      </c>
      <c r="P35" s="51">
        <f t="shared" si="3"/>
        <v>23000</v>
      </c>
    </row>
    <row r="36" spans="1:16" ht="12.75">
      <c r="A36" s="1">
        <f t="shared" si="4"/>
        <v>2020</v>
      </c>
      <c r="B36" s="1">
        <v>13</v>
      </c>
      <c r="C36" s="1">
        <f>ROUND('Allgemeine Eingaben'!$C$1*$E$8*(100-'Allgemeine Eingaben'!$C$2)/100*$E$9/100*$E$10/100*(100-$E$11)/100*(100-((B36-1))*'Allgemeine Eingaben'!$C$3)/100,0)</f>
        <v>4000</v>
      </c>
      <c r="D36" s="1">
        <f>$E$12*(100-'Allgemeine Eingaben'!$C$5)/100*(100-B36*5)/100</f>
        <v>6440</v>
      </c>
      <c r="E36" s="32">
        <f>IF(B36/'Allgemeine Eingaben'!$C$11&lt;=1,PMT('Allgemeine Eingaben'!$C$10/12/100,12*'Allgemeine Eingaben'!$C$11,$E$14)*(-1),0)</f>
        <v>0</v>
      </c>
      <c r="F36" s="32">
        <f>IF(B36/'Allgemeine Eingaben'!$C$11&lt;=1,(E36-$E$14/12/'Allgemeine Eingaben'!$C$11)*12,0)</f>
        <v>0</v>
      </c>
      <c r="G36" s="1">
        <f t="shared" si="0"/>
        <v>920</v>
      </c>
      <c r="H36" s="1">
        <f>ROUND(H35*(100+'Allgemeine Eingaben'!$C$8)/100,0)</f>
        <v>112</v>
      </c>
      <c r="I36" s="10">
        <f>C36*'Allgemeine Eingaben'!$C$6</f>
        <v>1870</v>
      </c>
      <c r="J36" s="10">
        <f t="shared" si="1"/>
        <v>838</v>
      </c>
      <c r="K36" s="10">
        <f>J36*'Allgemeine Eingaben'!$C$4/100</f>
        <v>125.7</v>
      </c>
      <c r="L36" s="10">
        <f t="shared" si="2"/>
        <v>1632.3</v>
      </c>
      <c r="M36" s="10">
        <f>N35*'Allgemeine Eingaben'!$C$9/100</f>
        <v>1119.8350313463118</v>
      </c>
      <c r="N36" s="10">
        <f t="shared" si="5"/>
        <v>30065.18457637831</v>
      </c>
      <c r="O36" s="13">
        <f>O35+O35*'Allgemeine Eingaben'!$C$9/100</f>
        <v>38778.17084256152</v>
      </c>
      <c r="P36" s="51">
        <f t="shared" si="3"/>
        <v>23000</v>
      </c>
    </row>
    <row r="37" spans="1:16" ht="12.75">
      <c r="A37" s="1">
        <f t="shared" si="4"/>
        <v>2021</v>
      </c>
      <c r="B37" s="1">
        <v>14</v>
      </c>
      <c r="C37" s="1">
        <f>ROUND('Allgemeine Eingaben'!$C$1*$E$8*(100-'Allgemeine Eingaben'!$C$2)/100*$E$9/100*$E$10/100*(100-$E$11)/100*(100-((B37-1))*'Allgemeine Eingaben'!$C$3)/100,0)</f>
        <v>3964</v>
      </c>
      <c r="D37" s="1">
        <f>$E$12*(100-'Allgemeine Eingaben'!$C$5)/100*(100-B37*5)/100</f>
        <v>5520</v>
      </c>
      <c r="E37" s="32">
        <f>IF(B37/'Allgemeine Eingaben'!$C$11&lt;=1,PMT('Allgemeine Eingaben'!$C$10/12/100,12*'Allgemeine Eingaben'!$C$11,$E$14)*(-1),0)</f>
        <v>0</v>
      </c>
      <c r="F37" s="32">
        <f>IF(B37/'Allgemeine Eingaben'!$C$11&lt;=1,(E37-$E$14/12/'Allgemeine Eingaben'!$C$11)*12,0)</f>
        <v>0</v>
      </c>
      <c r="G37" s="1">
        <f t="shared" si="0"/>
        <v>920</v>
      </c>
      <c r="H37" s="1">
        <f>ROUND(H36*(100+'Allgemeine Eingaben'!$C$8)/100,0)</f>
        <v>113</v>
      </c>
      <c r="I37" s="10">
        <f>C37*'Allgemeine Eingaben'!$C$6</f>
        <v>1853.17</v>
      </c>
      <c r="J37" s="10">
        <f t="shared" si="1"/>
        <v>820.1700000000001</v>
      </c>
      <c r="K37" s="10">
        <f>J37*'Allgemeine Eingaben'!$C$4/100</f>
        <v>123.02550000000001</v>
      </c>
      <c r="L37" s="10">
        <f t="shared" si="2"/>
        <v>1617.1445</v>
      </c>
      <c r="M37" s="10">
        <f>N36*'Allgemeine Eingaben'!$C$9/100</f>
        <v>1232.6725676315107</v>
      </c>
      <c r="N37" s="10">
        <f t="shared" si="5"/>
        <v>32915.00164400982</v>
      </c>
      <c r="O37" s="13">
        <f>O36+O36*'Allgemeine Eingaben'!$C$9/100</f>
        <v>40368.07584710654</v>
      </c>
      <c r="P37" s="51">
        <f t="shared" si="3"/>
        <v>23000</v>
      </c>
    </row>
    <row r="38" spans="1:16" ht="12.75">
      <c r="A38" s="1">
        <f t="shared" si="4"/>
        <v>2022</v>
      </c>
      <c r="B38" s="1">
        <v>15</v>
      </c>
      <c r="C38" s="1">
        <f>ROUND('Allgemeine Eingaben'!$C$1*$E$8*(100-'Allgemeine Eingaben'!$C$2)/100*$E$9/100*$E$10/100*(100-$E$11)/100*(100-((B38-1))*'Allgemeine Eingaben'!$C$3)/100,0)</f>
        <v>3929</v>
      </c>
      <c r="D38" s="1">
        <f>$E$12*(100-'Allgemeine Eingaben'!$C$5)/100*(100-B38*5)/100</f>
        <v>4600</v>
      </c>
      <c r="E38" s="32">
        <f>IF(B38/'Allgemeine Eingaben'!$C$11&lt;=1,PMT('Allgemeine Eingaben'!$C$10/12/100,12*'Allgemeine Eingaben'!$C$11,$E$14)*(-1),0)</f>
        <v>0</v>
      </c>
      <c r="F38" s="32">
        <f>IF(B38/'Allgemeine Eingaben'!$C$11&lt;=1,(E38-$E$14/12/'Allgemeine Eingaben'!$C$11)*12,0)</f>
        <v>0</v>
      </c>
      <c r="G38" s="1">
        <f t="shared" si="0"/>
        <v>920</v>
      </c>
      <c r="H38" s="1">
        <f>ROUND(H37*(100+'Allgemeine Eingaben'!$C$8)/100,0)</f>
        <v>114</v>
      </c>
      <c r="I38" s="10">
        <f>C38*'Allgemeine Eingaben'!$C$6</f>
        <v>1836.8075000000001</v>
      </c>
      <c r="J38" s="10">
        <f t="shared" si="1"/>
        <v>802.8075000000001</v>
      </c>
      <c r="K38" s="10">
        <f>J38*'Allgemeine Eingaben'!$C$4/100</f>
        <v>120.42112500000002</v>
      </c>
      <c r="L38" s="10">
        <f t="shared" si="2"/>
        <v>1602.386375</v>
      </c>
      <c r="M38" s="10">
        <f>N37*'Allgemeine Eingaben'!$C$9/100</f>
        <v>1349.5150674044023</v>
      </c>
      <c r="N38" s="10">
        <f t="shared" si="5"/>
        <v>35866.903086414226</v>
      </c>
      <c r="O38" s="13">
        <f>O37+O37*'Allgemeine Eingaben'!$C$9/100</f>
        <v>42023.16695683791</v>
      </c>
      <c r="P38" s="51">
        <f t="shared" si="3"/>
        <v>23000</v>
      </c>
    </row>
    <row r="39" spans="1:16" ht="12.75">
      <c r="A39" s="1">
        <f t="shared" si="4"/>
        <v>2023</v>
      </c>
      <c r="B39" s="1">
        <v>16</v>
      </c>
      <c r="C39" s="1">
        <f>ROUND('Allgemeine Eingaben'!$C$1*$E$8*(100-'Allgemeine Eingaben'!$C$2)/100*$E$9/100*$E$10/100*(100-$E$11)/100*(100-((B39-1))*'Allgemeine Eingaben'!$C$3)/100,0)</f>
        <v>3894</v>
      </c>
      <c r="D39" s="1">
        <f>$E$12*(100-'Allgemeine Eingaben'!$C$5)/100*(100-B39*5)/100</f>
        <v>3680</v>
      </c>
      <c r="E39" s="32">
        <f>IF(B39/'Allgemeine Eingaben'!$C$11&lt;=1,PMT('Allgemeine Eingaben'!$C$10/12/100,12*'Allgemeine Eingaben'!$C$11,$E$14)*(-1),0)</f>
        <v>0</v>
      </c>
      <c r="F39" s="32">
        <f>IF(B39/'Allgemeine Eingaben'!$C$11&lt;=1,(E39-$E$14/12/'Allgemeine Eingaben'!$C$11)*12,0)</f>
        <v>0</v>
      </c>
      <c r="G39" s="1">
        <f t="shared" si="0"/>
        <v>920</v>
      </c>
      <c r="H39" s="1">
        <f>ROUND(H38*(100+'Allgemeine Eingaben'!$C$8)/100,0)</f>
        <v>115</v>
      </c>
      <c r="I39" s="10">
        <f>C39*'Allgemeine Eingaben'!$C$6</f>
        <v>1820.4450000000002</v>
      </c>
      <c r="J39" s="10">
        <f t="shared" si="1"/>
        <v>785.4450000000002</v>
      </c>
      <c r="K39" s="10">
        <f>J39*'Allgemeine Eingaben'!$C$4/100</f>
        <v>117.81675000000003</v>
      </c>
      <c r="L39" s="10">
        <f t="shared" si="2"/>
        <v>1587.6282500000002</v>
      </c>
      <c r="M39" s="10">
        <f>N38*'Allgemeine Eingaben'!$C$9/100</f>
        <v>1470.5430265429832</v>
      </c>
      <c r="N39" s="10">
        <f t="shared" si="5"/>
        <v>38925.07436295721</v>
      </c>
      <c r="O39" s="13">
        <f>O38+O38*'Allgemeine Eingaben'!$C$9/100</f>
        <v>43746.11680206826</v>
      </c>
      <c r="P39" s="51">
        <f t="shared" si="3"/>
        <v>23000</v>
      </c>
    </row>
    <row r="40" spans="1:16" ht="12.75">
      <c r="A40" s="1">
        <f t="shared" si="4"/>
        <v>2024</v>
      </c>
      <c r="B40" s="1">
        <v>17</v>
      </c>
      <c r="C40" s="1">
        <f>ROUND('Allgemeine Eingaben'!$C$1*$E$8*(100-'Allgemeine Eingaben'!$C$2)/100*$E$9/100*$E$10/100*(100-$E$11)/100*(100-((B40-1))*'Allgemeine Eingaben'!$C$3)/100,0)</f>
        <v>3858</v>
      </c>
      <c r="D40" s="1">
        <f>$E$12*(100-'Allgemeine Eingaben'!$C$5)/100*(100-B40*5)/100</f>
        <v>2760</v>
      </c>
      <c r="E40" s="32">
        <f>IF(B40/'Allgemeine Eingaben'!$C$11&lt;=1,PMT('Allgemeine Eingaben'!$C$10/12/100,12*'Allgemeine Eingaben'!$C$11,$E$14)*(-1),0)</f>
        <v>0</v>
      </c>
      <c r="F40" s="32">
        <f>IF(B40/'Allgemeine Eingaben'!$C$11&lt;=1,(E40-$E$14/12/'Allgemeine Eingaben'!$C$11)*12,0)</f>
        <v>0</v>
      </c>
      <c r="G40" s="1">
        <f t="shared" si="0"/>
        <v>920</v>
      </c>
      <c r="H40" s="1">
        <f>ROUND(H39*(100+'Allgemeine Eingaben'!$C$8)/100,0)</f>
        <v>116</v>
      </c>
      <c r="I40" s="10">
        <f>C40*'Allgemeine Eingaben'!$C$6</f>
        <v>1803.615</v>
      </c>
      <c r="J40" s="10">
        <f t="shared" si="1"/>
        <v>767.615</v>
      </c>
      <c r="K40" s="10">
        <f>J40*'Allgemeine Eingaben'!$C$4/100</f>
        <v>115.14225</v>
      </c>
      <c r="L40" s="10">
        <f t="shared" si="2"/>
        <v>1572.47275</v>
      </c>
      <c r="M40" s="10">
        <f>N39*'Allgemeine Eingaben'!$C$9/100</f>
        <v>1595.9280488812456</v>
      </c>
      <c r="N40" s="10">
        <f t="shared" si="5"/>
        <v>42093.475161838454</v>
      </c>
      <c r="O40" s="13">
        <f>O39+O39*'Allgemeine Eingaben'!$C$9/100</f>
        <v>45539.70759095306</v>
      </c>
      <c r="P40" s="51">
        <f t="shared" si="3"/>
        <v>23000</v>
      </c>
    </row>
    <row r="41" spans="1:16" ht="12.75">
      <c r="A41" s="1">
        <f t="shared" si="4"/>
        <v>2025</v>
      </c>
      <c r="B41" s="1">
        <v>18</v>
      </c>
      <c r="C41" s="1">
        <f>ROUND('Allgemeine Eingaben'!$C$1*$E$8*(100-'Allgemeine Eingaben'!$C$2)/100*$E$9/100*$E$10/100*(100-$E$11)/100*(100-((B41-1))*'Allgemeine Eingaben'!$C$3)/100,0)</f>
        <v>3823</v>
      </c>
      <c r="D41" s="1">
        <f>$E$12*(100-'Allgemeine Eingaben'!$C$5)/100*(100-B41*5)/100</f>
        <v>1840</v>
      </c>
      <c r="E41" s="32">
        <f>IF(B41/'Allgemeine Eingaben'!$C$11&lt;=1,PMT('Allgemeine Eingaben'!$C$10/12/100,12*'Allgemeine Eingaben'!$C$11,$E$14)*(-1),0)</f>
        <v>0</v>
      </c>
      <c r="F41" s="32">
        <f>IF(B41/'Allgemeine Eingaben'!$C$11&lt;=1,(E41-$E$14/12/'Allgemeine Eingaben'!$C$11)*12,0)</f>
        <v>0</v>
      </c>
      <c r="G41" s="1">
        <f t="shared" si="0"/>
        <v>920</v>
      </c>
      <c r="H41" s="1">
        <f>ROUND(H40*(100+'Allgemeine Eingaben'!$C$8)/100,0)</f>
        <v>117</v>
      </c>
      <c r="I41" s="10">
        <f>C41*'Allgemeine Eingaben'!$C$6</f>
        <v>1787.2525</v>
      </c>
      <c r="J41" s="10">
        <f t="shared" si="1"/>
        <v>750.2525</v>
      </c>
      <c r="K41" s="10">
        <f>J41*'Allgemeine Eingaben'!$C$4/100</f>
        <v>112.537875</v>
      </c>
      <c r="L41" s="10">
        <f t="shared" si="2"/>
        <v>1557.714625</v>
      </c>
      <c r="M41" s="10">
        <f>N40*'Allgemeine Eingaben'!$C$9/100</f>
        <v>1725.8324816353766</v>
      </c>
      <c r="N41" s="10">
        <f t="shared" si="5"/>
        <v>45377.02226847383</v>
      </c>
      <c r="O41" s="13">
        <f>O40+O40*'Allgemeine Eingaben'!$C$9/100</f>
        <v>47406.83560218214</v>
      </c>
      <c r="P41" s="51">
        <f t="shared" si="3"/>
        <v>23000</v>
      </c>
    </row>
    <row r="42" spans="1:16" ht="12.75">
      <c r="A42" s="1">
        <f t="shared" si="4"/>
        <v>2026</v>
      </c>
      <c r="B42" s="1">
        <v>19</v>
      </c>
      <c r="C42" s="1">
        <f>ROUND('Allgemeine Eingaben'!$C$1*$E$8*(100-'Allgemeine Eingaben'!$C$2)/100*$E$9/100*$E$10/100*(100-$E$11)/100*(100-((B42-1))*'Allgemeine Eingaben'!$C$3)/100,0)</f>
        <v>3787</v>
      </c>
      <c r="D42" s="1">
        <f>$E$12*(100-'Allgemeine Eingaben'!$C$5)/100*(100-B42*5)/100</f>
        <v>920</v>
      </c>
      <c r="E42" s="32">
        <f>IF(B42/'Allgemeine Eingaben'!$C$11&lt;=1,PMT('Allgemeine Eingaben'!$C$10/12/100,12*'Allgemeine Eingaben'!$C$11,$E$14)*(-1),0)</f>
        <v>0</v>
      </c>
      <c r="F42" s="32">
        <f>IF(B42/'Allgemeine Eingaben'!$C$11&lt;=1,(E42-$E$14/12/'Allgemeine Eingaben'!$C$11)*12,0)</f>
        <v>0</v>
      </c>
      <c r="G42" s="1">
        <f t="shared" si="0"/>
        <v>920</v>
      </c>
      <c r="H42" s="1">
        <f>ROUND(H41*(100+'Allgemeine Eingaben'!$C$8)/100,0)</f>
        <v>118</v>
      </c>
      <c r="I42" s="10">
        <f>C42*'Allgemeine Eingaben'!$C$6</f>
        <v>1770.4225000000001</v>
      </c>
      <c r="J42" s="10">
        <f t="shared" si="1"/>
        <v>732.4225000000001</v>
      </c>
      <c r="K42" s="10">
        <f>J42*'Allgemeine Eingaben'!$C$4/100</f>
        <v>109.86337500000002</v>
      </c>
      <c r="L42" s="10">
        <f t="shared" si="2"/>
        <v>1542.5591250000002</v>
      </c>
      <c r="M42" s="10">
        <f>N41*'Allgemeine Eingaben'!$C$9/100</f>
        <v>1860.4579130074271</v>
      </c>
      <c r="N42" s="10">
        <f t="shared" si="5"/>
        <v>48780.03930648126</v>
      </c>
      <c r="O42" s="13">
        <f>O41+O41*'Allgemeine Eingaben'!$C$9/100</f>
        <v>49350.51586187161</v>
      </c>
      <c r="P42" s="51">
        <f t="shared" si="3"/>
        <v>23000</v>
      </c>
    </row>
    <row r="43" spans="1:16" ht="12.75">
      <c r="A43" s="1">
        <f t="shared" si="4"/>
        <v>2027</v>
      </c>
      <c r="B43" s="1">
        <v>20</v>
      </c>
      <c r="C43" s="1">
        <f>ROUND('Allgemeine Eingaben'!$C$1*$E$8*(100-'Allgemeine Eingaben'!$C$2)/100*$E$9/100*$E$10/100*(100-$E$11)/100*(100-((B43-1))*'Allgemeine Eingaben'!$C$3)/100,0)</f>
        <v>3752</v>
      </c>
      <c r="D43" s="1">
        <f>$E$12*(100-'Allgemeine Eingaben'!$C$5)/100*(100-B43*5)/100</f>
        <v>0</v>
      </c>
      <c r="E43" s="32">
        <f>IF(B43/'Allgemeine Eingaben'!$C$11&lt;=1,PMT('Allgemeine Eingaben'!$C$10/12/100,12*'Allgemeine Eingaben'!$C$11,$E$14)*(-1),0)</f>
        <v>0</v>
      </c>
      <c r="F43" s="32">
        <f>IF(B43/'Allgemeine Eingaben'!$C$11&lt;=1,(E43-$E$14/12/'Allgemeine Eingaben'!$C$11)*12,0)</f>
        <v>0</v>
      </c>
      <c r="G43" s="1">
        <f t="shared" si="0"/>
        <v>920</v>
      </c>
      <c r="H43" s="1">
        <f>ROUND(H42*(100+'Allgemeine Eingaben'!$C$8)/100,0)</f>
        <v>119</v>
      </c>
      <c r="I43" s="10">
        <f>C43*'Allgemeine Eingaben'!$C$6</f>
        <v>1754.0600000000002</v>
      </c>
      <c r="J43" s="10">
        <f t="shared" si="1"/>
        <v>715.0600000000002</v>
      </c>
      <c r="K43" s="10">
        <f>J43*'Allgemeine Eingaben'!$C$4/100</f>
        <v>107.25900000000003</v>
      </c>
      <c r="L43" s="10">
        <f t="shared" si="2"/>
        <v>1527.8010000000002</v>
      </c>
      <c r="M43" s="10">
        <f>N42*'Allgemeine Eingaben'!$C$9/100</f>
        <v>1999.9816115657316</v>
      </c>
      <c r="N43" s="10">
        <f t="shared" si="5"/>
        <v>52307.82191804699</v>
      </c>
      <c r="O43" s="13">
        <f>O42+O42*'Allgemeine Eingaben'!$C$9/100</f>
        <v>51373.887012208346</v>
      </c>
      <c r="P43" s="51">
        <f t="shared" si="3"/>
        <v>23000</v>
      </c>
    </row>
    <row r="44" spans="1:16" ht="12.75">
      <c r="A44" s="1">
        <f t="shared" si="4"/>
        <v>2028</v>
      </c>
      <c r="B44" s="1">
        <v>21</v>
      </c>
      <c r="C44" s="1">
        <f>ROUND('Allgemeine Eingaben'!$C$1*$E$8*(100-'Allgemeine Eingaben'!$C$2)/100*$E$9/100*$E$10/100*(100-$E$11)/100*(100-((B44-1))*'Allgemeine Eingaben'!$C$3)/100,0)</f>
        <v>3717</v>
      </c>
      <c r="D44" s="1">
        <f>0</f>
        <v>0</v>
      </c>
      <c r="E44" s="32">
        <f>IF(B44/'Allgemeine Eingaben'!$C$11&lt;=1,PMT('Allgemeine Eingaben'!$C$10/12/100,12*'Allgemeine Eingaben'!$C$11,$E$14)*(-1),0)</f>
        <v>0</v>
      </c>
      <c r="F44" s="32">
        <f>IF(B44/'Allgemeine Eingaben'!$C$11&lt;=1,(E44-$E$14/12/'Allgemeine Eingaben'!$C$11)*12,0)</f>
        <v>0</v>
      </c>
      <c r="G44" s="1">
        <v>0</v>
      </c>
      <c r="H44" s="1">
        <f>ROUND(H43*(100+'Allgemeine Eingaben'!$C$8)/100,0)</f>
        <v>120</v>
      </c>
      <c r="I44" s="10">
        <f>C44*'Allgemeine Eingaben'!$C$6</f>
        <v>1737.6975</v>
      </c>
      <c r="J44" s="10">
        <f t="shared" si="1"/>
        <v>1617.6975</v>
      </c>
      <c r="K44" s="10">
        <f>J44*'Allgemeine Eingaben'!$C$4/100</f>
        <v>242.654625</v>
      </c>
      <c r="L44" s="10">
        <f t="shared" si="2"/>
        <v>1375.042875</v>
      </c>
      <c r="M44" s="10">
        <f>N43*'Allgemeine Eingaben'!$C$9/100</f>
        <v>2144.620698639926</v>
      </c>
      <c r="N44" s="10">
        <f t="shared" si="5"/>
        <v>55827.485491686915</v>
      </c>
      <c r="O44" s="13">
        <f>O43+O43*'Allgemeine Eingaben'!$C$9/100</f>
        <v>53480.21637970889</v>
      </c>
      <c r="P44" s="51">
        <f t="shared" si="3"/>
        <v>23000</v>
      </c>
    </row>
    <row r="45" ht="12.75">
      <c r="L45" s="14"/>
    </row>
    <row r="46" ht="12.75">
      <c r="L46" s="14"/>
    </row>
    <row r="47" ht="12.75">
      <c r="L47" s="14"/>
    </row>
    <row r="48" ht="12.75">
      <c r="L48" s="14"/>
    </row>
    <row r="50" spans="1:12" ht="12.75">
      <c r="A50" s="3"/>
      <c r="B50" s="3"/>
      <c r="C50" s="3"/>
      <c r="D50" s="4"/>
      <c r="E50" s="4"/>
      <c r="F50" s="4"/>
      <c r="G50" s="4"/>
      <c r="H50" s="4"/>
      <c r="I50" s="4"/>
      <c r="J50" s="4"/>
      <c r="K50" s="4"/>
      <c r="L50" s="6"/>
    </row>
    <row r="51" spans="1:12" ht="12.75">
      <c r="A51" s="3"/>
      <c r="B51" s="3"/>
      <c r="C51" s="3"/>
      <c r="D51" s="4"/>
      <c r="E51" s="4"/>
      <c r="F51" s="4"/>
      <c r="G51" s="4"/>
      <c r="H51" s="4"/>
      <c r="I51" s="4"/>
      <c r="J51" s="4"/>
      <c r="K51" s="4"/>
      <c r="L51" s="4"/>
    </row>
    <row r="52" spans="1:12" ht="12.75">
      <c r="A52" s="2"/>
      <c r="B52" s="2"/>
      <c r="C52" s="2"/>
      <c r="L52" s="7"/>
    </row>
    <row r="53" spans="1:12" ht="12.75">
      <c r="A53" s="1"/>
      <c r="B53" s="1"/>
      <c r="C53" s="1"/>
      <c r="I53" s="5"/>
      <c r="J53" s="5"/>
      <c r="K53" s="5"/>
      <c r="L53" s="8"/>
    </row>
    <row r="54" spans="1:12" ht="12.75">
      <c r="A54" s="1"/>
      <c r="B54" s="1"/>
      <c r="C54" s="1"/>
      <c r="I54" s="5"/>
      <c r="J54" s="5"/>
      <c r="K54" s="5"/>
      <c r="L54" s="8"/>
    </row>
    <row r="55" spans="1:12" ht="12.75">
      <c r="A55" s="1"/>
      <c r="B55" s="1"/>
      <c r="C55" s="1"/>
      <c r="I55" s="5"/>
      <c r="J55" s="5"/>
      <c r="K55" s="5"/>
      <c r="L55" s="8"/>
    </row>
    <row r="56" spans="1:15" ht="12.75" customHeight="1">
      <c r="A56" s="1"/>
      <c r="B56" s="1"/>
      <c r="C56" s="1"/>
      <c r="I56" s="61" t="s">
        <v>65</v>
      </c>
      <c r="J56" s="62"/>
      <c r="K56" s="62"/>
      <c r="L56" s="62"/>
      <c r="M56" s="62"/>
      <c r="N56" s="62"/>
      <c r="O56" s="62"/>
    </row>
    <row r="57" spans="1:15" ht="12.75">
      <c r="A57" s="1"/>
      <c r="B57" s="1"/>
      <c r="C57" s="1"/>
      <c r="I57" s="62"/>
      <c r="J57" s="62"/>
      <c r="K57" s="62"/>
      <c r="L57" s="62"/>
      <c r="M57" s="62"/>
      <c r="N57" s="62"/>
      <c r="O57" s="62"/>
    </row>
    <row r="58" spans="1:15" ht="12.75">
      <c r="A58" s="1"/>
      <c r="B58" s="1"/>
      <c r="C58" s="1"/>
      <c r="I58" s="62"/>
      <c r="J58" s="62"/>
      <c r="K58" s="62"/>
      <c r="L58" s="62"/>
      <c r="M58" s="62"/>
      <c r="N58" s="62"/>
      <c r="O58" s="62"/>
    </row>
    <row r="59" spans="1:15" ht="12.75">
      <c r="A59" s="1"/>
      <c r="B59" s="1"/>
      <c r="C59" s="1"/>
      <c r="I59" s="62"/>
      <c r="J59" s="62"/>
      <c r="K59" s="62"/>
      <c r="L59" s="62"/>
      <c r="M59" s="62"/>
      <c r="N59" s="62"/>
      <c r="O59" s="62"/>
    </row>
    <row r="60" spans="1:15" ht="12.75">
      <c r="A60" s="1"/>
      <c r="B60" s="1"/>
      <c r="C60" s="1"/>
      <c r="I60" s="62"/>
      <c r="J60" s="62"/>
      <c r="K60" s="62"/>
      <c r="L60" s="62"/>
      <c r="M60" s="62"/>
      <c r="N60" s="62"/>
      <c r="O60" s="62"/>
    </row>
    <row r="61" spans="1:12" ht="12.75">
      <c r="A61" s="1"/>
      <c r="B61" s="1"/>
      <c r="C61" s="1"/>
      <c r="I61" s="5"/>
      <c r="J61" s="5"/>
      <c r="K61" s="5"/>
      <c r="L61" s="8"/>
    </row>
    <row r="62" spans="1:12" ht="12.75">
      <c r="A62" s="1"/>
      <c r="B62" s="1"/>
      <c r="C62" s="1"/>
      <c r="I62" s="5"/>
      <c r="J62" s="5"/>
      <c r="K62" s="5"/>
      <c r="L62" s="8"/>
    </row>
    <row r="63" spans="1:12" ht="12.75">
      <c r="A63" s="1"/>
      <c r="B63" s="1"/>
      <c r="C63" s="1"/>
      <c r="I63" s="5"/>
      <c r="J63" s="5"/>
      <c r="K63" s="5"/>
      <c r="L63" s="8"/>
    </row>
    <row r="64" spans="1:12" ht="12.75">
      <c r="A64" s="1"/>
      <c r="B64" s="1"/>
      <c r="C64" s="1"/>
      <c r="I64" s="5"/>
      <c r="J64" s="5"/>
      <c r="K64" s="5"/>
      <c r="L64" s="8"/>
    </row>
    <row r="65" spans="1:12" ht="12.75">
      <c r="A65" s="1"/>
      <c r="B65" s="1"/>
      <c r="C65" s="1"/>
      <c r="I65" s="5"/>
      <c r="J65" s="5"/>
      <c r="K65" s="5"/>
      <c r="L65" s="8"/>
    </row>
    <row r="66" spans="1:12" ht="12.75">
      <c r="A66" s="1"/>
      <c r="B66" s="1"/>
      <c r="C66" s="1"/>
      <c r="I66" s="5"/>
      <c r="J66" s="5"/>
      <c r="K66" s="5"/>
      <c r="L66" s="8"/>
    </row>
    <row r="67" spans="1:12" ht="12.75">
      <c r="A67" s="1"/>
      <c r="B67" s="1"/>
      <c r="C67" s="1"/>
      <c r="I67" s="5"/>
      <c r="J67" s="5"/>
      <c r="K67" s="5"/>
      <c r="L67" s="8"/>
    </row>
    <row r="68" spans="1:12" ht="12.75">
      <c r="A68" s="1"/>
      <c r="B68" s="1"/>
      <c r="C68" s="1"/>
      <c r="I68" s="5"/>
      <c r="J68" s="5"/>
      <c r="K68" s="5"/>
      <c r="L68" s="8"/>
    </row>
    <row r="69" spans="1:12" ht="12.75">
      <c r="A69" s="1"/>
      <c r="B69" s="1"/>
      <c r="C69" s="1"/>
      <c r="I69" s="5"/>
      <c r="J69" s="5"/>
      <c r="K69" s="5"/>
      <c r="L69" s="8"/>
    </row>
    <row r="70" spans="1:12" ht="12.75">
      <c r="A70" s="1"/>
      <c r="B70" s="1"/>
      <c r="C70" s="1"/>
      <c r="I70" s="5"/>
      <c r="J70" s="5"/>
      <c r="K70" s="5"/>
      <c r="L70" s="8"/>
    </row>
    <row r="71" spans="1:12" ht="12.75">
      <c r="A71" s="1"/>
      <c r="B71" s="1"/>
      <c r="C71" s="1"/>
      <c r="I71" s="5"/>
      <c r="J71" s="5"/>
      <c r="K71" s="5"/>
      <c r="L71" s="8"/>
    </row>
    <row r="72" spans="1:12" ht="12.75">
      <c r="A72" s="1"/>
      <c r="B72" s="1"/>
      <c r="C72" s="1"/>
      <c r="I72" s="5"/>
      <c r="J72" s="5"/>
      <c r="K72" s="5"/>
      <c r="L72" s="8"/>
    </row>
    <row r="73" spans="1:12" ht="12.75">
      <c r="A73" s="1"/>
      <c r="B73" s="1"/>
      <c r="C73" s="1"/>
      <c r="I73" s="5"/>
      <c r="J73" s="5"/>
      <c r="K73" s="5"/>
      <c r="L73" s="8"/>
    </row>
  </sheetData>
  <sheetProtection password="DA8C" sheet="1" objects="1" scenarios="1"/>
  <mergeCells count="18">
    <mergeCell ref="I56:O60"/>
    <mergeCell ref="A13:C13"/>
    <mergeCell ref="F13:L13"/>
    <mergeCell ref="F14:L14"/>
    <mergeCell ref="A20:C20"/>
    <mergeCell ref="F9:L9"/>
    <mergeCell ref="F10:L10"/>
    <mergeCell ref="F11:L11"/>
    <mergeCell ref="A12:C12"/>
    <mergeCell ref="F12:L12"/>
    <mergeCell ref="F5:L5"/>
    <mergeCell ref="F6:L6"/>
    <mergeCell ref="F7:L7"/>
    <mergeCell ref="F8:L8"/>
    <mergeCell ref="A1:C1"/>
    <mergeCell ref="A3:C3"/>
    <mergeCell ref="F3:L3"/>
    <mergeCell ref="F4:L4"/>
  </mergeCell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P73"/>
  <sheetViews>
    <sheetView workbookViewId="0" topLeftCell="A5">
      <selection activeCell="C35" sqref="C35"/>
    </sheetView>
  </sheetViews>
  <sheetFormatPr defaultColWidth="11.421875" defaultRowHeight="12.75"/>
  <cols>
    <col min="5" max="5" width="22.00390625" style="0" customWidth="1"/>
    <col min="10" max="10" width="12.57421875" style="0" customWidth="1"/>
    <col min="14" max="14" width="12.8515625" style="0" customWidth="1"/>
  </cols>
  <sheetData>
    <row r="1" spans="1:4" ht="20.25">
      <c r="A1" s="63" t="s">
        <v>35</v>
      </c>
      <c r="B1" s="64"/>
      <c r="C1" s="64"/>
      <c r="D1" s="9" t="s">
        <v>47</v>
      </c>
    </row>
    <row r="3" spans="1:12" s="15" customFormat="1" ht="15.75">
      <c r="A3" s="60" t="s">
        <v>34</v>
      </c>
      <c r="B3" s="60"/>
      <c r="C3" s="60"/>
      <c r="D3" s="23"/>
      <c r="E3" s="25" t="s">
        <v>90</v>
      </c>
      <c r="F3" s="58" t="s">
        <v>50</v>
      </c>
      <c r="G3" s="58"/>
      <c r="H3" s="58"/>
      <c r="I3" s="59"/>
      <c r="J3" s="59"/>
      <c r="K3" s="59"/>
      <c r="L3" s="59"/>
    </row>
    <row r="4" spans="1:12" s="15" customFormat="1" ht="15.75">
      <c r="A4" s="23" t="s">
        <v>16</v>
      </c>
      <c r="B4" s="23"/>
      <c r="C4" s="23"/>
      <c r="D4" s="23"/>
      <c r="E4" s="25">
        <v>28</v>
      </c>
      <c r="F4" s="58" t="s">
        <v>51</v>
      </c>
      <c r="G4" s="58"/>
      <c r="H4" s="58"/>
      <c r="I4" s="59"/>
      <c r="J4" s="59"/>
      <c r="K4" s="59"/>
      <c r="L4" s="59"/>
    </row>
    <row r="5" spans="1:12" s="15" customFormat="1" ht="15.75">
      <c r="A5" s="23" t="s">
        <v>17</v>
      </c>
      <c r="B5" s="23"/>
      <c r="C5" s="23"/>
      <c r="D5" s="23" t="s">
        <v>20</v>
      </c>
      <c r="E5" s="25">
        <v>1600</v>
      </c>
      <c r="F5" s="58" t="s">
        <v>52</v>
      </c>
      <c r="G5" s="58"/>
      <c r="H5" s="58"/>
      <c r="I5" s="59"/>
      <c r="J5" s="59"/>
      <c r="K5" s="59"/>
      <c r="L5" s="59"/>
    </row>
    <row r="6" spans="1:12" s="15" customFormat="1" ht="15.75">
      <c r="A6" s="23" t="s">
        <v>18</v>
      </c>
      <c r="B6" s="23"/>
      <c r="C6" s="23"/>
      <c r="D6" s="23" t="s">
        <v>20</v>
      </c>
      <c r="E6" s="25">
        <v>800</v>
      </c>
      <c r="F6" s="58" t="s">
        <v>53</v>
      </c>
      <c r="G6" s="58"/>
      <c r="H6" s="58"/>
      <c r="I6" s="59"/>
      <c r="J6" s="59"/>
      <c r="K6" s="59"/>
      <c r="L6" s="59"/>
    </row>
    <row r="7" spans="1:12" s="15" customFormat="1" ht="39" customHeight="1">
      <c r="A7" s="23" t="s">
        <v>19</v>
      </c>
      <c r="B7" s="23"/>
      <c r="C7" s="23"/>
      <c r="D7" s="23" t="s">
        <v>10</v>
      </c>
      <c r="E7" s="25">
        <v>95</v>
      </c>
      <c r="F7" s="58" t="s">
        <v>61</v>
      </c>
      <c r="G7" s="58"/>
      <c r="H7" s="58"/>
      <c r="I7" s="59"/>
      <c r="J7" s="59"/>
      <c r="K7" s="59"/>
      <c r="L7" s="59"/>
    </row>
    <row r="8" spans="1:12" s="15" customFormat="1" ht="15.75">
      <c r="A8" s="23" t="s">
        <v>54</v>
      </c>
      <c r="B8" s="23"/>
      <c r="C8" s="23"/>
      <c r="D8" s="23" t="s">
        <v>9</v>
      </c>
      <c r="E8" s="24">
        <f>E5*E6/1000000*E4*E7/100</f>
        <v>34.048</v>
      </c>
      <c r="F8" s="58" t="s">
        <v>56</v>
      </c>
      <c r="G8" s="58"/>
      <c r="H8" s="58"/>
      <c r="I8" s="59"/>
      <c r="J8" s="59"/>
      <c r="K8" s="59"/>
      <c r="L8" s="59"/>
    </row>
    <row r="9" spans="1:12" s="15" customFormat="1" ht="15.75">
      <c r="A9" s="23" t="s">
        <v>2</v>
      </c>
      <c r="B9" s="23"/>
      <c r="C9" s="23"/>
      <c r="D9" s="23" t="s">
        <v>10</v>
      </c>
      <c r="E9" s="25">
        <v>15</v>
      </c>
      <c r="F9" s="58" t="s">
        <v>62</v>
      </c>
      <c r="G9" s="58"/>
      <c r="H9" s="58"/>
      <c r="I9" s="59"/>
      <c r="J9" s="59"/>
      <c r="K9" s="59"/>
      <c r="L9" s="59"/>
    </row>
    <row r="10" spans="1:12" s="15" customFormat="1" ht="15.75">
      <c r="A10" s="23" t="s">
        <v>3</v>
      </c>
      <c r="B10" s="23"/>
      <c r="C10" s="23"/>
      <c r="D10" s="23" t="s">
        <v>10</v>
      </c>
      <c r="E10" s="25">
        <v>96</v>
      </c>
      <c r="F10" s="58" t="s">
        <v>63</v>
      </c>
      <c r="G10" s="58"/>
      <c r="H10" s="58"/>
      <c r="I10" s="59"/>
      <c r="J10" s="59"/>
      <c r="K10" s="59"/>
      <c r="L10" s="59"/>
    </row>
    <row r="11" spans="1:12" s="15" customFormat="1" ht="15.75">
      <c r="A11" s="23" t="s">
        <v>4</v>
      </c>
      <c r="B11" s="23"/>
      <c r="C11" s="23"/>
      <c r="D11" s="23" t="s">
        <v>10</v>
      </c>
      <c r="E11" s="25">
        <v>0.2</v>
      </c>
      <c r="F11" s="58" t="s">
        <v>55</v>
      </c>
      <c r="G11" s="58"/>
      <c r="H11" s="58"/>
      <c r="I11" s="59"/>
      <c r="J11" s="59"/>
      <c r="K11" s="59"/>
      <c r="L11" s="59"/>
    </row>
    <row r="12" spans="1:12" s="15" customFormat="1" ht="15.75">
      <c r="A12" s="60" t="s">
        <v>7</v>
      </c>
      <c r="B12" s="60"/>
      <c r="C12" s="60"/>
      <c r="D12" s="23" t="s">
        <v>33</v>
      </c>
      <c r="E12" s="25">
        <v>29000</v>
      </c>
      <c r="F12" s="58" t="s">
        <v>64</v>
      </c>
      <c r="G12" s="58"/>
      <c r="H12" s="58"/>
      <c r="I12" s="59"/>
      <c r="J12" s="59"/>
      <c r="K12" s="59"/>
      <c r="L12" s="59"/>
    </row>
    <row r="13" spans="1:12" s="15" customFormat="1" ht="15.75">
      <c r="A13" s="60" t="s">
        <v>68</v>
      </c>
      <c r="B13" s="60"/>
      <c r="C13" s="60"/>
      <c r="D13" s="23" t="s">
        <v>33</v>
      </c>
      <c r="E13" s="25">
        <v>29000</v>
      </c>
      <c r="F13" s="58" t="s">
        <v>95</v>
      </c>
      <c r="G13" s="58"/>
      <c r="H13" s="58"/>
      <c r="I13" s="59"/>
      <c r="J13" s="59"/>
      <c r="K13" s="59"/>
      <c r="L13" s="59"/>
    </row>
    <row r="14" spans="1:12" s="15" customFormat="1" ht="15.75">
      <c r="A14" s="23" t="s">
        <v>69</v>
      </c>
      <c r="B14" s="23"/>
      <c r="C14" s="23"/>
      <c r="D14" s="23" t="s">
        <v>33</v>
      </c>
      <c r="E14" s="24">
        <f>E12-E13</f>
        <v>0</v>
      </c>
      <c r="F14" s="58" t="s">
        <v>56</v>
      </c>
      <c r="G14" s="58"/>
      <c r="H14" s="58"/>
      <c r="I14" s="59"/>
      <c r="J14" s="59"/>
      <c r="K14" s="59"/>
      <c r="L14" s="59"/>
    </row>
    <row r="20" spans="1:3" ht="20.25">
      <c r="A20" s="63" t="s">
        <v>36</v>
      </c>
      <c r="B20" s="64"/>
      <c r="C20" s="64"/>
    </row>
    <row r="21" spans="1:16" ht="51">
      <c r="A21" s="3" t="s">
        <v>22</v>
      </c>
      <c r="B21" s="3" t="s">
        <v>22</v>
      </c>
      <c r="C21" s="3" t="s">
        <v>23</v>
      </c>
      <c r="D21" s="4" t="s">
        <v>25</v>
      </c>
      <c r="E21" s="4" t="s">
        <v>70</v>
      </c>
      <c r="F21" s="4" t="s">
        <v>71</v>
      </c>
      <c r="G21" s="4" t="s">
        <v>76</v>
      </c>
      <c r="H21" s="4" t="s">
        <v>26</v>
      </c>
      <c r="I21" s="4" t="s">
        <v>77</v>
      </c>
      <c r="J21" s="4" t="s">
        <v>28</v>
      </c>
      <c r="K21" s="4" t="s">
        <v>75</v>
      </c>
      <c r="L21" s="4" t="s">
        <v>29</v>
      </c>
      <c r="M21" s="4" t="s">
        <v>30</v>
      </c>
      <c r="N21" s="4" t="s">
        <v>31</v>
      </c>
      <c r="O21" s="11" t="s">
        <v>41</v>
      </c>
      <c r="P21" s="50" t="s">
        <v>48</v>
      </c>
    </row>
    <row r="22" spans="1:16" ht="12.75">
      <c r="A22" s="3"/>
      <c r="B22" s="3"/>
      <c r="C22" s="3" t="s">
        <v>32</v>
      </c>
      <c r="D22" s="4" t="s">
        <v>33</v>
      </c>
      <c r="E22" s="4" t="s">
        <v>33</v>
      </c>
      <c r="F22" s="4" t="s">
        <v>33</v>
      </c>
      <c r="G22" s="4" t="s">
        <v>33</v>
      </c>
      <c r="H22" s="4" t="s">
        <v>33</v>
      </c>
      <c r="I22" s="4" t="s">
        <v>33</v>
      </c>
      <c r="J22" s="4" t="s">
        <v>33</v>
      </c>
      <c r="K22" s="4" t="s">
        <v>33</v>
      </c>
      <c r="L22" s="4" t="s">
        <v>33</v>
      </c>
      <c r="M22" s="4" t="s">
        <v>33</v>
      </c>
      <c r="N22" s="4" t="s">
        <v>33</v>
      </c>
      <c r="O22" s="11" t="s">
        <v>33</v>
      </c>
      <c r="P22" s="51"/>
    </row>
    <row r="23" spans="1:16" ht="12.75">
      <c r="A23" s="2"/>
      <c r="B23" s="2"/>
      <c r="C23" s="2"/>
      <c r="O23" s="12"/>
      <c r="P23" s="51"/>
    </row>
    <row r="24" spans="1:16" ht="12.75">
      <c r="A24" s="1">
        <f>'Allgemeine Eingaben'!C12</f>
        <v>2008</v>
      </c>
      <c r="B24" s="1">
        <v>1</v>
      </c>
      <c r="C24" s="1">
        <f>ROUND('Allgemeine Eingaben'!$C$1*$E$8*(100-'Allgemeine Eingaben'!$C$2)/100*$E$9/100*$E$10/100*(100-$E$11)/100*(100-((B24-1))*'Allgemeine Eingaben'!$C$3)/100,0)</f>
        <v>5020</v>
      </c>
      <c r="D24" s="1">
        <f>$E$12*(100-'Allgemeine Eingaben'!$C$5)/100*(100-B24*5)/100</f>
        <v>22040</v>
      </c>
      <c r="E24" s="32">
        <f>IF(B24/'Allgemeine Eingaben'!$C$11&lt;=1,PMT('Allgemeine Eingaben'!$C$10/12/100,12*'Allgemeine Eingaben'!$C$11,$E$14)*(-1),0)</f>
        <v>0</v>
      </c>
      <c r="F24" s="32">
        <f>IF(B24/'Allgemeine Eingaben'!$C$11&lt;=1,(E24-$E$14/12/'Allgemeine Eingaben'!$C$11)*12,0)</f>
        <v>0</v>
      </c>
      <c r="G24" s="1">
        <f>$E$12-D24</f>
        <v>6960</v>
      </c>
      <c r="H24" s="1">
        <f>'Allgemeine Eingaben'!$C$7</f>
        <v>100</v>
      </c>
      <c r="I24" s="10">
        <f>C24*'Allgemeine Eingaben'!$C$6</f>
        <v>2346.85</v>
      </c>
      <c r="J24" s="10">
        <f>I24-F24-H24-G24</f>
        <v>-4713.15</v>
      </c>
      <c r="K24" s="10">
        <f>J24*'Allgemeine Eingaben'!$C$4/100</f>
        <v>-706.9725</v>
      </c>
      <c r="L24" s="10">
        <f>I24-H24-K24-E24*12</f>
        <v>2953.8224999999998</v>
      </c>
      <c r="M24" s="10"/>
      <c r="N24" s="10">
        <f>$L$24</f>
        <v>2953.8224999999998</v>
      </c>
      <c r="O24" s="13">
        <f>$E$13+$E$13*'Allgemeine Eingaben'!$C$9/100</f>
        <v>30189</v>
      </c>
      <c r="P24" s="51">
        <f>$E$12</f>
        <v>29000</v>
      </c>
    </row>
    <row r="25" spans="1:16" ht="12.75">
      <c r="A25" s="1">
        <f>A24+1</f>
        <v>2009</v>
      </c>
      <c r="B25" s="1">
        <v>2</v>
      </c>
      <c r="C25" s="1">
        <f>ROUND('Allgemeine Eingaben'!$C$1*$E$8*(100-'Allgemeine Eingaben'!$C$2)/100*$E$9/100*$E$10/100*(100-$E$11)/100*(100-((B25-1))*'Allgemeine Eingaben'!$C$3)/100,0)</f>
        <v>4980</v>
      </c>
      <c r="D25" s="1">
        <f>$E$12*(100-'Allgemeine Eingaben'!$C$5)/100*(100-B25*5)/100</f>
        <v>20880</v>
      </c>
      <c r="E25" s="32">
        <f>IF(B25/'Allgemeine Eingaben'!$C$11&lt;=1,PMT('Allgemeine Eingaben'!$C$10/12/100,12*'Allgemeine Eingaben'!$C$11,$E$14)*(-1),0)</f>
        <v>0</v>
      </c>
      <c r="F25" s="32">
        <f>IF(B25/'Allgemeine Eingaben'!$C$11&lt;=1,(E25-$E$14/12/'Allgemeine Eingaben'!$C$11)*12,0)</f>
        <v>0</v>
      </c>
      <c r="G25" s="1">
        <f aca="true" t="shared" si="0" ref="G25:G43">D24-D25</f>
        <v>1160</v>
      </c>
      <c r="H25" s="1">
        <f>ROUND(H24*(100+'Allgemeine Eingaben'!$C$8)/100,0)</f>
        <v>101</v>
      </c>
      <c r="I25" s="10">
        <f>C25*'Allgemeine Eingaben'!$C$6</f>
        <v>2328.15</v>
      </c>
      <c r="J25" s="10">
        <f aca="true" t="shared" si="1" ref="J25:J44">I25-F25-H25-G25</f>
        <v>1067.15</v>
      </c>
      <c r="K25" s="10">
        <f>J25*'Allgemeine Eingaben'!$C$4/100</f>
        <v>160.07250000000002</v>
      </c>
      <c r="L25" s="10">
        <f aca="true" t="shared" si="2" ref="L25:L44">I25-H25-K25-E25*12</f>
        <v>2067.0775</v>
      </c>
      <c r="M25" s="10">
        <f>N24*'Allgemeine Eingaben'!$C$9/100</f>
        <v>121.10672249999998</v>
      </c>
      <c r="N25" s="10">
        <f>N24+L25+M25</f>
        <v>5142.006722499999</v>
      </c>
      <c r="O25" s="13">
        <f>O24+O24*'Allgemeine Eingaben'!$C$9/100</f>
        <v>31426.749</v>
      </c>
      <c r="P25" s="51">
        <f aca="true" t="shared" si="3" ref="P25:P44">$E$12</f>
        <v>29000</v>
      </c>
    </row>
    <row r="26" spans="1:16" ht="12.75">
      <c r="A26" s="1">
        <f aca="true" t="shared" si="4" ref="A26:A44">A25+1</f>
        <v>2010</v>
      </c>
      <c r="B26" s="1">
        <v>3</v>
      </c>
      <c r="C26" s="1">
        <f>ROUND('Allgemeine Eingaben'!$C$1*$E$8*(100-'Allgemeine Eingaben'!$C$2)/100*$E$9/100*$E$10/100*(100-$E$11)/100*(100-((B26-1))*'Allgemeine Eingaben'!$C$3)/100,0)</f>
        <v>4940</v>
      </c>
      <c r="D26" s="1">
        <f>$E$12*(100-'Allgemeine Eingaben'!$C$5)/100*(100-B26*5)/100</f>
        <v>19720</v>
      </c>
      <c r="E26" s="32">
        <f>IF(B26/'Allgemeine Eingaben'!$C$11&lt;=1,PMT('Allgemeine Eingaben'!$C$10/12/100,12*'Allgemeine Eingaben'!$C$11,$E$14)*(-1),0)</f>
        <v>0</v>
      </c>
      <c r="F26" s="32">
        <f>IF(B26/'Allgemeine Eingaben'!$C$11&lt;=1,(E26-$E$14/12/'Allgemeine Eingaben'!$C$11)*12,0)</f>
        <v>0</v>
      </c>
      <c r="G26" s="1">
        <f t="shared" si="0"/>
        <v>1160</v>
      </c>
      <c r="H26" s="1">
        <f>ROUND(H25*(100+'Allgemeine Eingaben'!$C$8)/100,0)</f>
        <v>102</v>
      </c>
      <c r="I26" s="10">
        <f>C26*'Allgemeine Eingaben'!$C$6</f>
        <v>2309.4500000000003</v>
      </c>
      <c r="J26" s="10">
        <f t="shared" si="1"/>
        <v>1047.4500000000003</v>
      </c>
      <c r="K26" s="10">
        <f>J26*'Allgemeine Eingaben'!$C$4/100</f>
        <v>157.11750000000004</v>
      </c>
      <c r="L26" s="10">
        <f t="shared" si="2"/>
        <v>2050.3325000000004</v>
      </c>
      <c r="M26" s="10">
        <f>N25*'Allgemeine Eingaben'!$C$9/100</f>
        <v>210.82227562249994</v>
      </c>
      <c r="N26" s="10">
        <f aca="true" t="shared" si="5" ref="N26:N44">N25+L26+M26</f>
        <v>7403.161498122499</v>
      </c>
      <c r="O26" s="13">
        <f>O25+O25*'Allgemeine Eingaben'!$C$9/100</f>
        <v>32715.245709</v>
      </c>
      <c r="P26" s="51">
        <f t="shared" si="3"/>
        <v>29000</v>
      </c>
    </row>
    <row r="27" spans="1:16" ht="12.75">
      <c r="A27" s="1">
        <f t="shared" si="4"/>
        <v>2011</v>
      </c>
      <c r="B27" s="1">
        <v>4</v>
      </c>
      <c r="C27" s="1">
        <f>ROUND('Allgemeine Eingaben'!$C$1*$E$8*(100-'Allgemeine Eingaben'!$C$2)/100*$E$9/100*$E$10/100*(100-$E$11)/100*(100-((B27-1))*'Allgemeine Eingaben'!$C$3)/100,0)</f>
        <v>4900</v>
      </c>
      <c r="D27" s="1">
        <f>$E$12*(100-'Allgemeine Eingaben'!$C$5)/100*(100-B27*5)/100</f>
        <v>18560</v>
      </c>
      <c r="E27" s="32">
        <f>IF(B27/'Allgemeine Eingaben'!$C$11&lt;=1,PMT('Allgemeine Eingaben'!$C$10/12/100,12*'Allgemeine Eingaben'!$C$11,$E$14)*(-1),0)</f>
        <v>0</v>
      </c>
      <c r="F27" s="32">
        <f>IF(B27/'Allgemeine Eingaben'!$C$11&lt;=1,(E27-$E$14/12/'Allgemeine Eingaben'!$C$11)*12,0)</f>
        <v>0</v>
      </c>
      <c r="G27" s="1">
        <f t="shared" si="0"/>
        <v>1160</v>
      </c>
      <c r="H27" s="1">
        <f>ROUND(H26*(100+'Allgemeine Eingaben'!$C$8)/100,0)</f>
        <v>103</v>
      </c>
      <c r="I27" s="10">
        <f>C27*'Allgemeine Eingaben'!$C$6</f>
        <v>2290.75</v>
      </c>
      <c r="J27" s="10">
        <f t="shared" si="1"/>
        <v>1027.75</v>
      </c>
      <c r="K27" s="10">
        <f>J27*'Allgemeine Eingaben'!$C$4/100</f>
        <v>154.1625</v>
      </c>
      <c r="L27" s="10">
        <f t="shared" si="2"/>
        <v>2033.5875</v>
      </c>
      <c r="M27" s="10">
        <f>N26*'Allgemeine Eingaben'!$C$9/100</f>
        <v>303.52962142302243</v>
      </c>
      <c r="N27" s="10">
        <f t="shared" si="5"/>
        <v>9740.278619545521</v>
      </c>
      <c r="O27" s="13">
        <f>O26+O26*'Allgemeine Eingaben'!$C$9/100</f>
        <v>34056.570783069</v>
      </c>
      <c r="P27" s="51">
        <f t="shared" si="3"/>
        <v>29000</v>
      </c>
    </row>
    <row r="28" spans="1:16" ht="12.75">
      <c r="A28" s="1">
        <f t="shared" si="4"/>
        <v>2012</v>
      </c>
      <c r="B28" s="1">
        <v>5</v>
      </c>
      <c r="C28" s="1">
        <f>ROUND('Allgemeine Eingaben'!$C$1*$E$8*(100-'Allgemeine Eingaben'!$C$2)/100*$E$9/100*$E$10/100*(100-$E$11)/100*(100-((B28-1))*'Allgemeine Eingaben'!$C$3)/100,0)</f>
        <v>4860</v>
      </c>
      <c r="D28" s="1">
        <f>$E$12*(100-'Allgemeine Eingaben'!$C$5)/100*(100-B28*5)/100</f>
        <v>17400</v>
      </c>
      <c r="E28" s="32">
        <f>IF(B28/'Allgemeine Eingaben'!$C$11&lt;=1,PMT('Allgemeine Eingaben'!$C$10/12/100,12*'Allgemeine Eingaben'!$C$11,$E$14)*(-1),0)</f>
        <v>0</v>
      </c>
      <c r="F28" s="32">
        <f>IF(B28/'Allgemeine Eingaben'!$C$11&lt;=1,(E28-$E$14/12/'Allgemeine Eingaben'!$C$11)*12,0)</f>
        <v>0</v>
      </c>
      <c r="G28" s="1">
        <f t="shared" si="0"/>
        <v>1160</v>
      </c>
      <c r="H28" s="1">
        <f>ROUND(H27*(100+'Allgemeine Eingaben'!$C$8)/100,0)</f>
        <v>104</v>
      </c>
      <c r="I28" s="10">
        <f>C28*'Allgemeine Eingaben'!$C$6</f>
        <v>2272.05</v>
      </c>
      <c r="J28" s="10">
        <f t="shared" si="1"/>
        <v>1008.0500000000002</v>
      </c>
      <c r="K28" s="10">
        <f>J28*'Allgemeine Eingaben'!$C$4/100</f>
        <v>151.20750000000004</v>
      </c>
      <c r="L28" s="10">
        <f t="shared" si="2"/>
        <v>2016.8425000000002</v>
      </c>
      <c r="M28" s="10">
        <f>N27*'Allgemeine Eingaben'!$C$9/100</f>
        <v>399.35142340136633</v>
      </c>
      <c r="N28" s="10">
        <f t="shared" si="5"/>
        <v>12156.472542946887</v>
      </c>
      <c r="O28" s="13">
        <f>O27+O27*'Allgemeine Eingaben'!$C$9/100</f>
        <v>35452.89018517483</v>
      </c>
      <c r="P28" s="51">
        <f t="shared" si="3"/>
        <v>29000</v>
      </c>
    </row>
    <row r="29" spans="1:16" ht="12.75">
      <c r="A29" s="1">
        <f t="shared" si="4"/>
        <v>2013</v>
      </c>
      <c r="B29" s="1">
        <v>6</v>
      </c>
      <c r="C29" s="1">
        <f>ROUND('Allgemeine Eingaben'!$C$1*$E$8*(100-'Allgemeine Eingaben'!$C$2)/100*$E$9/100*$E$10/100*(100-$E$11)/100*(100-((B29-1))*'Allgemeine Eingaben'!$C$3)/100,0)</f>
        <v>4820</v>
      </c>
      <c r="D29" s="1">
        <f>$E$12*(100-'Allgemeine Eingaben'!$C$5)/100*(100-B29*5)/100</f>
        <v>16240</v>
      </c>
      <c r="E29" s="32">
        <f>IF(B29/'Allgemeine Eingaben'!$C$11&lt;=1,PMT('Allgemeine Eingaben'!$C$10/12/100,12*'Allgemeine Eingaben'!$C$11,$E$14)*(-1),0)</f>
        <v>0</v>
      </c>
      <c r="F29" s="32">
        <f>IF(B29/'Allgemeine Eingaben'!$C$11&lt;=1,(E29-$E$14/12/'Allgemeine Eingaben'!$C$11)*12,0)</f>
        <v>0</v>
      </c>
      <c r="G29" s="1">
        <f t="shared" si="0"/>
        <v>1160</v>
      </c>
      <c r="H29" s="1">
        <f>ROUND(H28*(100+'Allgemeine Eingaben'!$C$8)/100,0)</f>
        <v>105</v>
      </c>
      <c r="I29" s="10">
        <f>C29*'Allgemeine Eingaben'!$C$6</f>
        <v>2253.35</v>
      </c>
      <c r="J29" s="10">
        <f t="shared" si="1"/>
        <v>988.3499999999999</v>
      </c>
      <c r="K29" s="10">
        <f>J29*'Allgemeine Eingaben'!$C$4/100</f>
        <v>148.25249999999997</v>
      </c>
      <c r="L29" s="10">
        <f t="shared" si="2"/>
        <v>2000.0974999999999</v>
      </c>
      <c r="M29" s="10">
        <f>N28*'Allgemeine Eingaben'!$C$9/100</f>
        <v>498.4153742608224</v>
      </c>
      <c r="N29" s="10">
        <f t="shared" si="5"/>
        <v>14654.98541720771</v>
      </c>
      <c r="O29" s="13">
        <f>O28+O28*'Allgemeine Eingaben'!$C$9/100</f>
        <v>36906.458682767</v>
      </c>
      <c r="P29" s="51">
        <f t="shared" si="3"/>
        <v>29000</v>
      </c>
    </row>
    <row r="30" spans="1:16" ht="12.75">
      <c r="A30" s="1">
        <f t="shared" si="4"/>
        <v>2014</v>
      </c>
      <c r="B30" s="1">
        <v>7</v>
      </c>
      <c r="C30" s="1">
        <f>ROUND('Allgemeine Eingaben'!$C$1*$E$8*(100-'Allgemeine Eingaben'!$C$2)/100*$E$9/100*$E$10/100*(100-$E$11)/100*(100-((B30-1))*'Allgemeine Eingaben'!$C$3)/100,0)</f>
        <v>4779</v>
      </c>
      <c r="D30" s="1">
        <f>$E$12*(100-'Allgemeine Eingaben'!$C$5)/100*(100-B30*5)/100</f>
        <v>15080</v>
      </c>
      <c r="E30" s="32">
        <f>IF(B30/'Allgemeine Eingaben'!$C$11&lt;=1,PMT('Allgemeine Eingaben'!$C$10/12/100,12*'Allgemeine Eingaben'!$C$11,$E$14)*(-1),0)</f>
        <v>0</v>
      </c>
      <c r="F30" s="32">
        <f>IF(B30/'Allgemeine Eingaben'!$C$11&lt;=1,(E30-$E$14/12/'Allgemeine Eingaben'!$C$11)*12,0)</f>
        <v>0</v>
      </c>
      <c r="G30" s="1">
        <f t="shared" si="0"/>
        <v>1160</v>
      </c>
      <c r="H30" s="1">
        <f>ROUND(H29*(100+'Allgemeine Eingaben'!$C$8)/100,0)</f>
        <v>106</v>
      </c>
      <c r="I30" s="10">
        <f>C30*'Allgemeine Eingaben'!$C$6</f>
        <v>2234.1825000000003</v>
      </c>
      <c r="J30" s="10">
        <f t="shared" si="1"/>
        <v>968.1825000000003</v>
      </c>
      <c r="K30" s="10">
        <f>J30*'Allgemeine Eingaben'!$C$4/100</f>
        <v>145.22737500000005</v>
      </c>
      <c r="L30" s="10">
        <f t="shared" si="2"/>
        <v>1982.9551250000004</v>
      </c>
      <c r="M30" s="10">
        <f>N29*'Allgemeine Eingaben'!$C$9/100</f>
        <v>600.8544021055161</v>
      </c>
      <c r="N30" s="10">
        <f t="shared" si="5"/>
        <v>17238.794944313227</v>
      </c>
      <c r="O30" s="13">
        <f>O29+O29*'Allgemeine Eingaben'!$C$9/100</f>
        <v>38419.623488760444</v>
      </c>
      <c r="P30" s="51">
        <f t="shared" si="3"/>
        <v>29000</v>
      </c>
    </row>
    <row r="31" spans="1:16" ht="12.75">
      <c r="A31" s="1">
        <f t="shared" si="4"/>
        <v>2015</v>
      </c>
      <c r="B31" s="1">
        <v>8</v>
      </c>
      <c r="C31" s="1">
        <f>ROUND('Allgemeine Eingaben'!$C$1*$E$8*(100-'Allgemeine Eingaben'!$C$2)/100*$E$9/100*$E$10/100*(100-$E$11)/100*(100-((B31-1))*'Allgemeine Eingaben'!$C$3)/100,0)</f>
        <v>4739</v>
      </c>
      <c r="D31" s="1">
        <f>$E$12*(100-'Allgemeine Eingaben'!$C$5)/100*(100-B31*5)/100</f>
        <v>13920</v>
      </c>
      <c r="E31" s="32">
        <f>IF(B31/'Allgemeine Eingaben'!$C$11&lt;=1,PMT('Allgemeine Eingaben'!$C$10/12/100,12*'Allgemeine Eingaben'!$C$11,$E$14)*(-1),0)</f>
        <v>0</v>
      </c>
      <c r="F31" s="32">
        <f>IF(B31/'Allgemeine Eingaben'!$C$11&lt;=1,(E31-$E$14/12/'Allgemeine Eingaben'!$C$11)*12,0)</f>
        <v>0</v>
      </c>
      <c r="G31" s="1">
        <f t="shared" si="0"/>
        <v>1160</v>
      </c>
      <c r="H31" s="1">
        <f>ROUND(H30*(100+'Allgemeine Eingaben'!$C$8)/100,0)</f>
        <v>107</v>
      </c>
      <c r="I31" s="10">
        <f>C31*'Allgemeine Eingaben'!$C$6</f>
        <v>2215.4825</v>
      </c>
      <c r="J31" s="10">
        <f t="shared" si="1"/>
        <v>948.4825000000001</v>
      </c>
      <c r="K31" s="10">
        <f>J31*'Allgemeine Eingaben'!$C$4/100</f>
        <v>142.272375</v>
      </c>
      <c r="L31" s="10">
        <f t="shared" si="2"/>
        <v>1966.210125</v>
      </c>
      <c r="M31" s="10">
        <f>N30*'Allgemeine Eingaben'!$C$9/100</f>
        <v>706.7905927168422</v>
      </c>
      <c r="N31" s="10">
        <f t="shared" si="5"/>
        <v>19911.795662030072</v>
      </c>
      <c r="O31" s="13">
        <f>O30+O30*'Allgemeine Eingaben'!$C$9/100</f>
        <v>39994.828051799625</v>
      </c>
      <c r="P31" s="51">
        <f t="shared" si="3"/>
        <v>29000</v>
      </c>
    </row>
    <row r="32" spans="1:16" ht="12.75">
      <c r="A32" s="1">
        <f t="shared" si="4"/>
        <v>2016</v>
      </c>
      <c r="B32" s="1">
        <v>9</v>
      </c>
      <c r="C32" s="1">
        <f>ROUND('Allgemeine Eingaben'!$C$1*$E$8*(100-'Allgemeine Eingaben'!$C$2)/100*$E$9/100*$E$10/100*(100-$E$11)/100*(100-((B32-1))*'Allgemeine Eingaben'!$C$3)/100,0)</f>
        <v>4699</v>
      </c>
      <c r="D32" s="1">
        <f>$E$12*(100-'Allgemeine Eingaben'!$C$5)/100*(100-B32*5)/100</f>
        <v>12760</v>
      </c>
      <c r="E32" s="32">
        <f>IF(B32/'Allgemeine Eingaben'!$C$11&lt;=1,PMT('Allgemeine Eingaben'!$C$10/12/100,12*'Allgemeine Eingaben'!$C$11,$E$14)*(-1),0)</f>
        <v>0</v>
      </c>
      <c r="F32" s="32">
        <f>IF(B32/'Allgemeine Eingaben'!$C$11&lt;=1,(E32-$E$14/12/'Allgemeine Eingaben'!$C$11)*12,0)</f>
        <v>0</v>
      </c>
      <c r="G32" s="1">
        <f t="shared" si="0"/>
        <v>1160</v>
      </c>
      <c r="H32" s="1">
        <f>ROUND(H31*(100+'Allgemeine Eingaben'!$C$8)/100,0)</f>
        <v>108</v>
      </c>
      <c r="I32" s="10">
        <f>C32*'Allgemeine Eingaben'!$C$6</f>
        <v>2196.7825000000003</v>
      </c>
      <c r="J32" s="10">
        <f t="shared" si="1"/>
        <v>928.7825000000003</v>
      </c>
      <c r="K32" s="10">
        <f>J32*'Allgemeine Eingaben'!$C$4/100</f>
        <v>139.31737500000003</v>
      </c>
      <c r="L32" s="10">
        <f t="shared" si="2"/>
        <v>1949.4651250000002</v>
      </c>
      <c r="M32" s="10">
        <f>N31*'Allgemeine Eingaben'!$C$9/100</f>
        <v>816.383622143233</v>
      </c>
      <c r="N32" s="10">
        <f t="shared" si="5"/>
        <v>22677.644409173303</v>
      </c>
      <c r="O32" s="13">
        <f>O31+O31*'Allgemeine Eingaben'!$C$9/100</f>
        <v>41634.61600192341</v>
      </c>
      <c r="P32" s="51">
        <f t="shared" si="3"/>
        <v>29000</v>
      </c>
    </row>
    <row r="33" spans="1:16" ht="12.75">
      <c r="A33" s="1">
        <f t="shared" si="4"/>
        <v>2017</v>
      </c>
      <c r="B33" s="1">
        <v>10</v>
      </c>
      <c r="C33" s="1">
        <f>ROUND('Allgemeine Eingaben'!$C$1*$E$8*(100-'Allgemeine Eingaben'!$C$2)/100*$E$9/100*$E$10/100*(100-$E$11)/100*(100-((B33-1))*'Allgemeine Eingaben'!$C$3)/100,0)</f>
        <v>4659</v>
      </c>
      <c r="D33" s="1">
        <f>$E$12*(100-'Allgemeine Eingaben'!$C$5)/100*(100-B33*5)/100</f>
        <v>11600</v>
      </c>
      <c r="E33" s="32">
        <f>IF(B33/'Allgemeine Eingaben'!$C$11&lt;=1,PMT('Allgemeine Eingaben'!$C$10/12/100,12*'Allgemeine Eingaben'!$C$11,$E$14)*(-1),0)</f>
        <v>0</v>
      </c>
      <c r="F33" s="32">
        <f>IF(B33/'Allgemeine Eingaben'!$C$11&lt;=1,(E33-$E$14/12/'Allgemeine Eingaben'!$C$11)*12,0)</f>
        <v>0</v>
      </c>
      <c r="G33" s="1">
        <f t="shared" si="0"/>
        <v>1160</v>
      </c>
      <c r="H33" s="1">
        <f>ROUND(H32*(100+'Allgemeine Eingaben'!$C$8)/100,0)</f>
        <v>109</v>
      </c>
      <c r="I33" s="10">
        <f>C33*'Allgemeine Eingaben'!$C$6</f>
        <v>2178.0825</v>
      </c>
      <c r="J33" s="10">
        <f t="shared" si="1"/>
        <v>909.0825</v>
      </c>
      <c r="K33" s="10">
        <f>J33*'Allgemeine Eingaben'!$C$4/100</f>
        <v>136.362375</v>
      </c>
      <c r="L33" s="10">
        <f t="shared" si="2"/>
        <v>1932.720125</v>
      </c>
      <c r="M33" s="10">
        <f>N32*'Allgemeine Eingaben'!$C$9/100</f>
        <v>929.7834207761053</v>
      </c>
      <c r="N33" s="10">
        <f t="shared" si="5"/>
        <v>25540.147954949407</v>
      </c>
      <c r="O33" s="13">
        <f>O32+O32*'Allgemeine Eingaben'!$C$9/100</f>
        <v>43341.635258002265</v>
      </c>
      <c r="P33" s="51">
        <f t="shared" si="3"/>
        <v>29000</v>
      </c>
    </row>
    <row r="34" spans="1:16" ht="12.75">
      <c r="A34" s="1">
        <f t="shared" si="4"/>
        <v>2018</v>
      </c>
      <c r="B34" s="1">
        <v>11</v>
      </c>
      <c r="C34" s="1">
        <f>ROUND('Allgemeine Eingaben'!$C$1*$E$8*(100-'Allgemeine Eingaben'!$C$2)/100*$E$9/100*$E$10/100*(100-$E$11)/100*(100-((B34-1))*'Allgemeine Eingaben'!$C$3)/100,0)</f>
        <v>4619</v>
      </c>
      <c r="D34" s="1">
        <f>$E$12*(100-'Allgemeine Eingaben'!$C$5)/100*(100-B34*5)/100</f>
        <v>10440</v>
      </c>
      <c r="E34" s="32">
        <f>IF(B34/'Allgemeine Eingaben'!$C$11&lt;=1,PMT('Allgemeine Eingaben'!$C$10/12/100,12*'Allgemeine Eingaben'!$C$11,$E$14)*(-1),0)</f>
        <v>0</v>
      </c>
      <c r="F34" s="32">
        <f>IF(B34/'Allgemeine Eingaben'!$C$11&lt;=1,(E34-$E$14/12/'Allgemeine Eingaben'!$C$11)*12,0)</f>
        <v>0</v>
      </c>
      <c r="G34" s="1">
        <f t="shared" si="0"/>
        <v>1160</v>
      </c>
      <c r="H34" s="1">
        <f>ROUND(H33*(100+'Allgemeine Eingaben'!$C$8)/100,0)</f>
        <v>110</v>
      </c>
      <c r="I34" s="10">
        <f>C34*'Allgemeine Eingaben'!$C$6</f>
        <v>2159.3825</v>
      </c>
      <c r="J34" s="10">
        <f t="shared" si="1"/>
        <v>889.3825000000002</v>
      </c>
      <c r="K34" s="10">
        <f>J34*'Allgemeine Eingaben'!$C$4/100</f>
        <v>133.40737500000003</v>
      </c>
      <c r="L34" s="10">
        <f t="shared" si="2"/>
        <v>1915.9751250000002</v>
      </c>
      <c r="M34" s="10">
        <f>N33*'Allgemeine Eingaben'!$C$9/100</f>
        <v>1047.1460661529256</v>
      </c>
      <c r="N34" s="10">
        <f t="shared" si="5"/>
        <v>28503.269146102335</v>
      </c>
      <c r="O34" s="13">
        <f>O33+O33*'Allgemeine Eingaben'!$C$9/100</f>
        <v>45118.64230358036</v>
      </c>
      <c r="P34" s="51">
        <f t="shared" si="3"/>
        <v>29000</v>
      </c>
    </row>
    <row r="35" spans="1:16" ht="12.75">
      <c r="A35" s="1">
        <f t="shared" si="4"/>
        <v>2019</v>
      </c>
      <c r="B35" s="1">
        <v>12</v>
      </c>
      <c r="C35" s="1">
        <f>ROUND('Allgemeine Eingaben'!$C$1*$E$8*(100-'Allgemeine Eingaben'!$C$2)/100*$E$9/100*$E$10/100*(100-$E$11)/100*(100-((B35-1))*'Allgemeine Eingaben'!$C$3)/100,0)</f>
        <v>4579</v>
      </c>
      <c r="D35" s="1">
        <f>$E$12*(100-'Allgemeine Eingaben'!$C$5)/100*(100-B35*5)/100</f>
        <v>9280</v>
      </c>
      <c r="E35" s="32">
        <f>IF(B35/'Allgemeine Eingaben'!$C$11&lt;=1,PMT('Allgemeine Eingaben'!$C$10/12/100,12*'Allgemeine Eingaben'!$C$11,$E$14)*(-1),0)</f>
        <v>0</v>
      </c>
      <c r="F35" s="32">
        <f>IF(B35/'Allgemeine Eingaben'!$C$11&lt;=1,(E35-$E$14/12/'Allgemeine Eingaben'!$C$11)*12,0)</f>
        <v>0</v>
      </c>
      <c r="G35" s="1">
        <f t="shared" si="0"/>
        <v>1160</v>
      </c>
      <c r="H35" s="1">
        <f>ROUND(H34*(100+'Allgemeine Eingaben'!$C$8)/100,0)</f>
        <v>111</v>
      </c>
      <c r="I35" s="10">
        <f>C35*'Allgemeine Eingaben'!$C$6</f>
        <v>2140.6825000000003</v>
      </c>
      <c r="J35" s="10">
        <f t="shared" si="1"/>
        <v>869.6825000000003</v>
      </c>
      <c r="K35" s="10">
        <f>J35*'Allgemeine Eingaben'!$C$4/100</f>
        <v>130.45237500000005</v>
      </c>
      <c r="L35" s="10">
        <f t="shared" si="2"/>
        <v>1899.2301250000003</v>
      </c>
      <c r="M35" s="10">
        <f>N34*'Allgemeine Eingaben'!$C$9/100</f>
        <v>1168.6340349901957</v>
      </c>
      <c r="N35" s="10">
        <f t="shared" si="5"/>
        <v>31571.13330609253</v>
      </c>
      <c r="O35" s="13">
        <f>O34+O34*'Allgemeine Eingaben'!$C$9/100</f>
        <v>46968.50663802715</v>
      </c>
      <c r="P35" s="51">
        <f t="shared" si="3"/>
        <v>29000</v>
      </c>
    </row>
    <row r="36" spans="1:16" ht="12.75">
      <c r="A36" s="1">
        <f t="shared" si="4"/>
        <v>2020</v>
      </c>
      <c r="B36" s="1">
        <v>13</v>
      </c>
      <c r="C36" s="1">
        <f>ROUND('Allgemeine Eingaben'!$C$1*$E$8*(100-'Allgemeine Eingaben'!$C$2)/100*$E$9/100*$E$10/100*(100-$E$11)/100*(100-((B36-1))*'Allgemeine Eingaben'!$C$3)/100,0)</f>
        <v>4538</v>
      </c>
      <c r="D36" s="1">
        <f>$E$12*(100-'Allgemeine Eingaben'!$C$5)/100*(100-B36*5)/100</f>
        <v>8120</v>
      </c>
      <c r="E36" s="32">
        <f>IF(B36/'Allgemeine Eingaben'!$C$11&lt;=1,PMT('Allgemeine Eingaben'!$C$10/12/100,12*'Allgemeine Eingaben'!$C$11,$E$14)*(-1),0)</f>
        <v>0</v>
      </c>
      <c r="F36" s="32">
        <f>IF(B36/'Allgemeine Eingaben'!$C$11&lt;=1,(E36-$E$14/12/'Allgemeine Eingaben'!$C$11)*12,0)</f>
        <v>0</v>
      </c>
      <c r="G36" s="1">
        <f t="shared" si="0"/>
        <v>1160</v>
      </c>
      <c r="H36" s="1">
        <f>ROUND(H35*(100+'Allgemeine Eingaben'!$C$8)/100,0)</f>
        <v>112</v>
      </c>
      <c r="I36" s="10">
        <f>C36*'Allgemeine Eingaben'!$C$6</f>
        <v>2121.5150000000003</v>
      </c>
      <c r="J36" s="10">
        <f t="shared" si="1"/>
        <v>849.5150000000003</v>
      </c>
      <c r="K36" s="10">
        <f>J36*'Allgemeine Eingaben'!$C$4/100</f>
        <v>127.42725000000006</v>
      </c>
      <c r="L36" s="10">
        <f t="shared" si="2"/>
        <v>1882.0877500000004</v>
      </c>
      <c r="M36" s="10">
        <f>N35*'Allgemeine Eingaben'!$C$9/100</f>
        <v>1294.4164655497937</v>
      </c>
      <c r="N36" s="10">
        <f t="shared" si="5"/>
        <v>34747.637521642326</v>
      </c>
      <c r="O36" s="13">
        <f>O35+O35*'Allgemeine Eingaben'!$C$9/100</f>
        <v>48894.21541018627</v>
      </c>
      <c r="P36" s="51">
        <f t="shared" si="3"/>
        <v>29000</v>
      </c>
    </row>
    <row r="37" spans="1:16" ht="12.75">
      <c r="A37" s="1">
        <f t="shared" si="4"/>
        <v>2021</v>
      </c>
      <c r="B37" s="1">
        <v>14</v>
      </c>
      <c r="C37" s="1">
        <f>ROUND('Allgemeine Eingaben'!$C$1*$E$8*(100-'Allgemeine Eingaben'!$C$2)/100*$E$9/100*$E$10/100*(100-$E$11)/100*(100-((B37-1))*'Allgemeine Eingaben'!$C$3)/100,0)</f>
        <v>4498</v>
      </c>
      <c r="D37" s="1">
        <f>$E$12*(100-'Allgemeine Eingaben'!$C$5)/100*(100-B37*5)/100</f>
        <v>6960</v>
      </c>
      <c r="E37" s="32">
        <f>IF(B37/'Allgemeine Eingaben'!$C$11&lt;=1,PMT('Allgemeine Eingaben'!$C$10/12/100,12*'Allgemeine Eingaben'!$C$11,$E$14)*(-1),0)</f>
        <v>0</v>
      </c>
      <c r="F37" s="32">
        <f>IF(B37/'Allgemeine Eingaben'!$C$11&lt;=1,(E37-$E$14/12/'Allgemeine Eingaben'!$C$11)*12,0)</f>
        <v>0</v>
      </c>
      <c r="G37" s="1">
        <f t="shared" si="0"/>
        <v>1160</v>
      </c>
      <c r="H37" s="1">
        <f>ROUND(H36*(100+'Allgemeine Eingaben'!$C$8)/100,0)</f>
        <v>113</v>
      </c>
      <c r="I37" s="10">
        <f>C37*'Allgemeine Eingaben'!$C$6</f>
        <v>2102.815</v>
      </c>
      <c r="J37" s="10">
        <f t="shared" si="1"/>
        <v>829.815</v>
      </c>
      <c r="K37" s="10">
        <f>J37*'Allgemeine Eingaben'!$C$4/100</f>
        <v>124.47225</v>
      </c>
      <c r="L37" s="10">
        <f t="shared" si="2"/>
        <v>1865.34275</v>
      </c>
      <c r="M37" s="10">
        <f>N36*'Allgemeine Eingaben'!$C$9/100</f>
        <v>1424.6531383873353</v>
      </c>
      <c r="N37" s="10">
        <f t="shared" si="5"/>
        <v>38037.633410029666</v>
      </c>
      <c r="O37" s="13">
        <f>O36+O36*'Allgemeine Eingaben'!$C$9/100</f>
        <v>50898.878242003906</v>
      </c>
      <c r="P37" s="51">
        <f t="shared" si="3"/>
        <v>29000</v>
      </c>
    </row>
    <row r="38" spans="1:16" ht="12.75">
      <c r="A38" s="1">
        <f t="shared" si="4"/>
        <v>2022</v>
      </c>
      <c r="B38" s="1">
        <v>15</v>
      </c>
      <c r="C38" s="1">
        <f>ROUND('Allgemeine Eingaben'!$C$1*$E$8*(100-'Allgemeine Eingaben'!$C$2)/100*$E$9/100*$E$10/100*(100-$E$11)/100*(100-((B38-1))*'Allgemeine Eingaben'!$C$3)/100,0)</f>
        <v>4458</v>
      </c>
      <c r="D38" s="1">
        <f>$E$12*(100-'Allgemeine Eingaben'!$C$5)/100*(100-B38*5)/100</f>
        <v>5800</v>
      </c>
      <c r="E38" s="32">
        <f>IF(B38/'Allgemeine Eingaben'!$C$11&lt;=1,PMT('Allgemeine Eingaben'!$C$10/12/100,12*'Allgemeine Eingaben'!$C$11,$E$14)*(-1),0)</f>
        <v>0</v>
      </c>
      <c r="F38" s="32">
        <f>IF(B38/'Allgemeine Eingaben'!$C$11&lt;=1,(E38-$E$14/12/'Allgemeine Eingaben'!$C$11)*12,0)</f>
        <v>0</v>
      </c>
      <c r="G38" s="1">
        <f t="shared" si="0"/>
        <v>1160</v>
      </c>
      <c r="H38" s="1">
        <f>ROUND(H37*(100+'Allgemeine Eingaben'!$C$8)/100,0)</f>
        <v>114</v>
      </c>
      <c r="I38" s="10">
        <f>C38*'Allgemeine Eingaben'!$C$6</f>
        <v>2084.1150000000002</v>
      </c>
      <c r="J38" s="10">
        <f t="shared" si="1"/>
        <v>810.1150000000002</v>
      </c>
      <c r="K38" s="10">
        <f>J38*'Allgemeine Eingaben'!$C$4/100</f>
        <v>121.51725000000005</v>
      </c>
      <c r="L38" s="10">
        <f t="shared" si="2"/>
        <v>1848.5977500000001</v>
      </c>
      <c r="M38" s="10">
        <f>N37*'Allgemeine Eingaben'!$C$9/100</f>
        <v>1559.5429698112162</v>
      </c>
      <c r="N38" s="10">
        <f t="shared" si="5"/>
        <v>41445.77412984088</v>
      </c>
      <c r="O38" s="13">
        <f>O37+O37*'Allgemeine Eingaben'!$C$9/100</f>
        <v>52985.73224992606</v>
      </c>
      <c r="P38" s="51">
        <f t="shared" si="3"/>
        <v>29000</v>
      </c>
    </row>
    <row r="39" spans="1:16" ht="12.75">
      <c r="A39" s="1">
        <f t="shared" si="4"/>
        <v>2023</v>
      </c>
      <c r="B39" s="1">
        <v>16</v>
      </c>
      <c r="C39" s="1">
        <f>ROUND('Allgemeine Eingaben'!$C$1*$E$8*(100-'Allgemeine Eingaben'!$C$2)/100*$E$9/100*$E$10/100*(100-$E$11)/100*(100-((B39-1))*'Allgemeine Eingaben'!$C$3)/100,0)</f>
        <v>4418</v>
      </c>
      <c r="D39" s="1">
        <f>$E$12*(100-'Allgemeine Eingaben'!$C$5)/100*(100-B39*5)/100</f>
        <v>4640</v>
      </c>
      <c r="E39" s="32">
        <f>IF(B39/'Allgemeine Eingaben'!$C$11&lt;=1,PMT('Allgemeine Eingaben'!$C$10/12/100,12*'Allgemeine Eingaben'!$C$11,$E$14)*(-1),0)</f>
        <v>0</v>
      </c>
      <c r="F39" s="32">
        <f>IF(B39/'Allgemeine Eingaben'!$C$11&lt;=1,(E39-$E$14/12/'Allgemeine Eingaben'!$C$11)*12,0)</f>
        <v>0</v>
      </c>
      <c r="G39" s="1">
        <f t="shared" si="0"/>
        <v>1160</v>
      </c>
      <c r="H39" s="1">
        <f>ROUND(H38*(100+'Allgemeine Eingaben'!$C$8)/100,0)</f>
        <v>115</v>
      </c>
      <c r="I39" s="10">
        <f>C39*'Allgemeine Eingaben'!$C$6</f>
        <v>2065.415</v>
      </c>
      <c r="J39" s="10">
        <f t="shared" si="1"/>
        <v>790.415</v>
      </c>
      <c r="K39" s="10">
        <f>J39*'Allgemeine Eingaben'!$C$4/100</f>
        <v>118.56224999999999</v>
      </c>
      <c r="L39" s="10">
        <f t="shared" si="2"/>
        <v>1831.85275</v>
      </c>
      <c r="M39" s="10">
        <f>N38*'Allgemeine Eingaben'!$C$9/100</f>
        <v>1699.276739323476</v>
      </c>
      <c r="N39" s="10">
        <f t="shared" si="5"/>
        <v>44976.90361916435</v>
      </c>
      <c r="O39" s="13">
        <f>O38+O38*'Allgemeine Eingaben'!$C$9/100</f>
        <v>55158.14727217303</v>
      </c>
      <c r="P39" s="51">
        <f t="shared" si="3"/>
        <v>29000</v>
      </c>
    </row>
    <row r="40" spans="1:16" ht="12.75">
      <c r="A40" s="1">
        <f t="shared" si="4"/>
        <v>2024</v>
      </c>
      <c r="B40" s="1">
        <v>17</v>
      </c>
      <c r="C40" s="1">
        <f>ROUND('Allgemeine Eingaben'!$C$1*$E$8*(100-'Allgemeine Eingaben'!$C$2)/100*$E$9/100*$E$10/100*(100-$E$11)/100*(100-((B40-1))*'Allgemeine Eingaben'!$C$3)/100,0)</f>
        <v>4378</v>
      </c>
      <c r="D40" s="1">
        <f>$E$12*(100-'Allgemeine Eingaben'!$C$5)/100*(100-B40*5)/100</f>
        <v>3480</v>
      </c>
      <c r="E40" s="32">
        <f>IF(B40/'Allgemeine Eingaben'!$C$11&lt;=1,PMT('Allgemeine Eingaben'!$C$10/12/100,12*'Allgemeine Eingaben'!$C$11,$E$14)*(-1),0)</f>
        <v>0</v>
      </c>
      <c r="F40" s="32">
        <f>IF(B40/'Allgemeine Eingaben'!$C$11&lt;=1,(E40-$E$14/12/'Allgemeine Eingaben'!$C$11)*12,0)</f>
        <v>0</v>
      </c>
      <c r="G40" s="1">
        <f t="shared" si="0"/>
        <v>1160</v>
      </c>
      <c r="H40" s="1">
        <f>ROUND(H39*(100+'Allgemeine Eingaben'!$C$8)/100,0)</f>
        <v>116</v>
      </c>
      <c r="I40" s="10">
        <f>C40*'Allgemeine Eingaben'!$C$6</f>
        <v>2046.7150000000001</v>
      </c>
      <c r="J40" s="10">
        <f t="shared" si="1"/>
        <v>770.7150000000001</v>
      </c>
      <c r="K40" s="10">
        <f>J40*'Allgemeine Eingaben'!$C$4/100</f>
        <v>115.60725000000002</v>
      </c>
      <c r="L40" s="10">
        <f t="shared" si="2"/>
        <v>1815.1077500000001</v>
      </c>
      <c r="M40" s="10">
        <f>N39*'Allgemeine Eingaben'!$C$9/100</f>
        <v>1844.0530483857383</v>
      </c>
      <c r="N40" s="10">
        <f t="shared" si="5"/>
        <v>48636.06441755009</v>
      </c>
      <c r="O40" s="13">
        <f>O39+O39*'Allgemeine Eingaben'!$C$9/100</f>
        <v>57419.63131033212</v>
      </c>
      <c r="P40" s="51">
        <f t="shared" si="3"/>
        <v>29000</v>
      </c>
    </row>
    <row r="41" spans="1:16" ht="12.75">
      <c r="A41" s="1">
        <f t="shared" si="4"/>
        <v>2025</v>
      </c>
      <c r="B41" s="1">
        <v>18</v>
      </c>
      <c r="C41" s="1">
        <f>ROUND('Allgemeine Eingaben'!$C$1*$E$8*(100-'Allgemeine Eingaben'!$C$2)/100*$E$9/100*$E$10/100*(100-$E$11)/100*(100-((B41-1))*'Allgemeine Eingaben'!$C$3)/100,0)</f>
        <v>4338</v>
      </c>
      <c r="D41" s="1">
        <f>$E$12*(100-'Allgemeine Eingaben'!$C$5)/100*(100-B41*5)/100</f>
        <v>2320</v>
      </c>
      <c r="E41" s="32">
        <f>IF(B41/'Allgemeine Eingaben'!$C$11&lt;=1,PMT('Allgemeine Eingaben'!$C$10/12/100,12*'Allgemeine Eingaben'!$C$11,$E$14)*(-1),0)</f>
        <v>0</v>
      </c>
      <c r="F41" s="32">
        <f>IF(B41/'Allgemeine Eingaben'!$C$11&lt;=1,(E41-$E$14/12/'Allgemeine Eingaben'!$C$11)*12,0)</f>
        <v>0</v>
      </c>
      <c r="G41" s="1">
        <f t="shared" si="0"/>
        <v>1160</v>
      </c>
      <c r="H41" s="1">
        <f>ROUND(H40*(100+'Allgemeine Eingaben'!$C$8)/100,0)</f>
        <v>117</v>
      </c>
      <c r="I41" s="10">
        <f>C41*'Allgemeine Eingaben'!$C$6</f>
        <v>2028.015</v>
      </c>
      <c r="J41" s="10">
        <f t="shared" si="1"/>
        <v>751.0150000000001</v>
      </c>
      <c r="K41" s="10">
        <f>J41*'Allgemeine Eingaben'!$C$4/100</f>
        <v>112.65225000000002</v>
      </c>
      <c r="L41" s="10">
        <f t="shared" si="2"/>
        <v>1798.36275</v>
      </c>
      <c r="M41" s="10">
        <f>N40*'Allgemeine Eingaben'!$C$9/100</f>
        <v>1994.0786411195536</v>
      </c>
      <c r="N41" s="10">
        <f t="shared" si="5"/>
        <v>52428.505808669644</v>
      </c>
      <c r="O41" s="13">
        <f>O40+O40*'Allgemeine Eingaben'!$C$9/100</f>
        <v>59773.83619405574</v>
      </c>
      <c r="P41" s="51">
        <f t="shared" si="3"/>
        <v>29000</v>
      </c>
    </row>
    <row r="42" spans="1:16" ht="12.75">
      <c r="A42" s="1">
        <f t="shared" si="4"/>
        <v>2026</v>
      </c>
      <c r="B42" s="1">
        <v>19</v>
      </c>
      <c r="C42" s="1">
        <f>ROUND('Allgemeine Eingaben'!$C$1*$E$8*(100-'Allgemeine Eingaben'!$C$2)/100*$E$9/100*$E$10/100*(100-$E$11)/100*(100-((B42-1))*'Allgemeine Eingaben'!$C$3)/100,0)</f>
        <v>4297</v>
      </c>
      <c r="D42" s="1">
        <f>$E$12*(100-'Allgemeine Eingaben'!$C$5)/100*(100-B42*5)/100</f>
        <v>1160</v>
      </c>
      <c r="E42" s="32">
        <f>IF(B42/'Allgemeine Eingaben'!$C$11&lt;=1,PMT('Allgemeine Eingaben'!$C$10/12/100,12*'Allgemeine Eingaben'!$C$11,$E$14)*(-1),0)</f>
        <v>0</v>
      </c>
      <c r="F42" s="32">
        <f>IF(B42/'Allgemeine Eingaben'!$C$11&lt;=1,(E42-$E$14/12/'Allgemeine Eingaben'!$C$11)*12,0)</f>
        <v>0</v>
      </c>
      <c r="G42" s="1">
        <f t="shared" si="0"/>
        <v>1160</v>
      </c>
      <c r="H42" s="1">
        <f>ROUND(H41*(100+'Allgemeine Eingaben'!$C$8)/100,0)</f>
        <v>118</v>
      </c>
      <c r="I42" s="10">
        <f>C42*'Allgemeine Eingaben'!$C$6</f>
        <v>2008.8475</v>
      </c>
      <c r="J42" s="10">
        <f t="shared" si="1"/>
        <v>730.8475000000001</v>
      </c>
      <c r="K42" s="10">
        <f>J42*'Allgemeine Eingaben'!$C$4/100</f>
        <v>109.62712500000002</v>
      </c>
      <c r="L42" s="10">
        <f t="shared" si="2"/>
        <v>1781.220375</v>
      </c>
      <c r="M42" s="10">
        <f>N41*'Allgemeine Eingaben'!$C$9/100</f>
        <v>2149.5687381554553</v>
      </c>
      <c r="N42" s="10">
        <f t="shared" si="5"/>
        <v>56359.294921825094</v>
      </c>
      <c r="O42" s="13">
        <f>O41+O41*'Allgemeine Eingaben'!$C$9/100</f>
        <v>62224.56347801202</v>
      </c>
      <c r="P42" s="51">
        <f t="shared" si="3"/>
        <v>29000</v>
      </c>
    </row>
    <row r="43" spans="1:16" ht="12.75">
      <c r="A43" s="1">
        <f t="shared" si="4"/>
        <v>2027</v>
      </c>
      <c r="B43" s="1">
        <v>20</v>
      </c>
      <c r="C43" s="1">
        <f>ROUND('Allgemeine Eingaben'!$C$1*$E$8*(100-'Allgemeine Eingaben'!$C$2)/100*$E$9/100*$E$10/100*(100-$E$11)/100*(100-((B43-1))*'Allgemeine Eingaben'!$C$3)/100,0)</f>
        <v>4257</v>
      </c>
      <c r="D43" s="1">
        <f>$E$12*(100-'Allgemeine Eingaben'!$C$5)/100*(100-B43*5)/100</f>
        <v>0</v>
      </c>
      <c r="E43" s="32">
        <f>IF(B43/'Allgemeine Eingaben'!$C$11&lt;=1,PMT('Allgemeine Eingaben'!$C$10/12/100,12*'Allgemeine Eingaben'!$C$11,$E$14)*(-1),0)</f>
        <v>0</v>
      </c>
      <c r="F43" s="32">
        <f>IF(B43/'Allgemeine Eingaben'!$C$11&lt;=1,(E43-$E$14/12/'Allgemeine Eingaben'!$C$11)*12,0)</f>
        <v>0</v>
      </c>
      <c r="G43" s="1">
        <f t="shared" si="0"/>
        <v>1160</v>
      </c>
      <c r="H43" s="1">
        <f>ROUND(H42*(100+'Allgemeine Eingaben'!$C$8)/100,0)</f>
        <v>119</v>
      </c>
      <c r="I43" s="10">
        <f>C43*'Allgemeine Eingaben'!$C$6</f>
        <v>1990.1475</v>
      </c>
      <c r="J43" s="10">
        <f t="shared" si="1"/>
        <v>711.1475</v>
      </c>
      <c r="K43" s="10">
        <f>J43*'Allgemeine Eingaben'!$C$4/100</f>
        <v>106.67212500000001</v>
      </c>
      <c r="L43" s="10">
        <f t="shared" si="2"/>
        <v>1764.475375</v>
      </c>
      <c r="M43" s="10">
        <f>N42*'Allgemeine Eingaben'!$C$9/100</f>
        <v>2310.7310917948284</v>
      </c>
      <c r="N43" s="10">
        <f t="shared" si="5"/>
        <v>60434.50138861992</v>
      </c>
      <c r="O43" s="13">
        <f>O42+O42*'Allgemeine Eingaben'!$C$9/100</f>
        <v>64775.770580610515</v>
      </c>
      <c r="P43" s="51">
        <f t="shared" si="3"/>
        <v>29000</v>
      </c>
    </row>
    <row r="44" spans="1:16" ht="12.75">
      <c r="A44" s="1">
        <f t="shared" si="4"/>
        <v>2028</v>
      </c>
      <c r="B44" s="1">
        <v>21</v>
      </c>
      <c r="C44" s="1">
        <f>ROUND('Allgemeine Eingaben'!$C$1*$E$8*(100-'Allgemeine Eingaben'!$C$2)/100*$E$9/100*$E$10/100*(100-$E$11)/100*(100-((B44-1))*'Allgemeine Eingaben'!$C$3)/100,0)</f>
        <v>4217</v>
      </c>
      <c r="D44" s="1">
        <f>0</f>
        <v>0</v>
      </c>
      <c r="E44" s="32">
        <f>IF(B44/'Allgemeine Eingaben'!$C$11&lt;=1,PMT('Allgemeine Eingaben'!$C$10/12/100,12*'Allgemeine Eingaben'!$C$11,$E$14)*(-1),0)</f>
        <v>0</v>
      </c>
      <c r="F44" s="32">
        <f>IF(B44/'Allgemeine Eingaben'!$C$11&lt;=1,(E44-$E$14/12/'Allgemeine Eingaben'!$C$11)*12,0)</f>
        <v>0</v>
      </c>
      <c r="G44" s="1">
        <v>0</v>
      </c>
      <c r="H44" s="1">
        <f>ROUND(H43*(100+'Allgemeine Eingaben'!$C$8)/100,0)</f>
        <v>120</v>
      </c>
      <c r="I44" s="10">
        <f>C44*'Allgemeine Eingaben'!$C$6</f>
        <v>1971.4475000000002</v>
      </c>
      <c r="J44" s="10">
        <f t="shared" si="1"/>
        <v>1851.4475000000002</v>
      </c>
      <c r="K44" s="10">
        <f>J44*'Allgemeine Eingaben'!$C$4/100</f>
        <v>277.717125</v>
      </c>
      <c r="L44" s="10">
        <f t="shared" si="2"/>
        <v>1573.730375</v>
      </c>
      <c r="M44" s="10">
        <f>N43*'Allgemeine Eingaben'!$C$9/100</f>
        <v>2477.814556933417</v>
      </c>
      <c r="N44" s="10">
        <f t="shared" si="5"/>
        <v>64486.04632055334</v>
      </c>
      <c r="O44" s="13">
        <f>O43+O43*'Allgemeine Eingaben'!$C$9/100</f>
        <v>67431.57717441555</v>
      </c>
      <c r="P44" s="51">
        <f t="shared" si="3"/>
        <v>29000</v>
      </c>
    </row>
    <row r="45" ht="12.75">
      <c r="L45" s="14"/>
    </row>
    <row r="46" ht="12.75">
      <c r="L46" s="14"/>
    </row>
    <row r="47" ht="12.75">
      <c r="L47" s="14"/>
    </row>
    <row r="48" ht="12.75">
      <c r="L48" s="14"/>
    </row>
    <row r="50" spans="1:12" ht="12.75">
      <c r="A50" s="3"/>
      <c r="B50" s="3"/>
      <c r="C50" s="3"/>
      <c r="D50" s="4"/>
      <c r="E50" s="4"/>
      <c r="F50" s="4"/>
      <c r="G50" s="4"/>
      <c r="H50" s="4"/>
      <c r="I50" s="4"/>
      <c r="J50" s="4"/>
      <c r="K50" s="4"/>
      <c r="L50" s="6"/>
    </row>
    <row r="51" spans="1:12" ht="12.75">
      <c r="A51" s="3"/>
      <c r="B51" s="3"/>
      <c r="C51" s="3"/>
      <c r="D51" s="4"/>
      <c r="E51" s="4"/>
      <c r="F51" s="4"/>
      <c r="G51" s="4"/>
      <c r="H51" s="4"/>
      <c r="I51" s="4"/>
      <c r="J51" s="4"/>
      <c r="K51" s="4"/>
      <c r="L51" s="4"/>
    </row>
    <row r="52" spans="1:12" ht="12.75">
      <c r="A52" s="2"/>
      <c r="B52" s="2"/>
      <c r="C52" s="2"/>
      <c r="L52" s="7"/>
    </row>
    <row r="53" spans="1:12" ht="12.75">
      <c r="A53" s="1"/>
      <c r="B53" s="1"/>
      <c r="C53" s="1"/>
      <c r="I53" s="5"/>
      <c r="J53" s="5"/>
      <c r="K53" s="5"/>
      <c r="L53" s="8"/>
    </row>
    <row r="54" spans="1:12" ht="12.75">
      <c r="A54" s="1"/>
      <c r="B54" s="1"/>
      <c r="C54" s="1"/>
      <c r="I54" s="5"/>
      <c r="J54" s="5"/>
      <c r="K54" s="5"/>
      <c r="L54" s="8"/>
    </row>
    <row r="55" spans="1:12" ht="12.75">
      <c r="A55" s="1"/>
      <c r="B55" s="1"/>
      <c r="C55" s="1"/>
      <c r="I55" s="5"/>
      <c r="J55" s="5"/>
      <c r="K55" s="5"/>
      <c r="L55" s="8"/>
    </row>
    <row r="56" spans="1:15" ht="12.75" customHeight="1">
      <c r="A56" s="1"/>
      <c r="B56" s="1"/>
      <c r="C56" s="1"/>
      <c r="I56" s="61" t="s">
        <v>65</v>
      </c>
      <c r="J56" s="62"/>
      <c r="K56" s="62"/>
      <c r="L56" s="62"/>
      <c r="M56" s="62"/>
      <c r="N56" s="62"/>
      <c r="O56" s="62"/>
    </row>
    <row r="57" spans="1:15" ht="12.75">
      <c r="A57" s="1"/>
      <c r="B57" s="1"/>
      <c r="C57" s="1"/>
      <c r="I57" s="62"/>
      <c r="J57" s="62"/>
      <c r="K57" s="62"/>
      <c r="L57" s="62"/>
      <c r="M57" s="62"/>
      <c r="N57" s="62"/>
      <c r="O57" s="62"/>
    </row>
    <row r="58" spans="1:15" ht="12.75">
      <c r="A58" s="1"/>
      <c r="B58" s="1"/>
      <c r="C58" s="1"/>
      <c r="I58" s="62"/>
      <c r="J58" s="62"/>
      <c r="K58" s="62"/>
      <c r="L58" s="62"/>
      <c r="M58" s="62"/>
      <c r="N58" s="62"/>
      <c r="O58" s="62"/>
    </row>
    <row r="59" spans="1:15" ht="12.75">
      <c r="A59" s="1"/>
      <c r="B59" s="1"/>
      <c r="C59" s="1"/>
      <c r="I59" s="62"/>
      <c r="J59" s="62"/>
      <c r="K59" s="62"/>
      <c r="L59" s="62"/>
      <c r="M59" s="62"/>
      <c r="N59" s="62"/>
      <c r="O59" s="62"/>
    </row>
    <row r="60" spans="1:15" ht="12.75">
      <c r="A60" s="1"/>
      <c r="B60" s="1"/>
      <c r="C60" s="1"/>
      <c r="I60" s="62"/>
      <c r="J60" s="62"/>
      <c r="K60" s="62"/>
      <c r="L60" s="62"/>
      <c r="M60" s="62"/>
      <c r="N60" s="62"/>
      <c r="O60" s="62"/>
    </row>
    <row r="61" spans="1:12" ht="12.75">
      <c r="A61" s="1"/>
      <c r="B61" s="1"/>
      <c r="C61" s="1"/>
      <c r="I61" s="5"/>
      <c r="J61" s="5"/>
      <c r="K61" s="5"/>
      <c r="L61" s="8"/>
    </row>
    <row r="62" spans="1:12" ht="12.75">
      <c r="A62" s="1"/>
      <c r="B62" s="1"/>
      <c r="C62" s="1"/>
      <c r="I62" s="5"/>
      <c r="J62" s="5"/>
      <c r="K62" s="5"/>
      <c r="L62" s="8"/>
    </row>
    <row r="63" spans="1:12" ht="12.75">
      <c r="A63" s="1"/>
      <c r="B63" s="1"/>
      <c r="C63" s="1"/>
      <c r="I63" s="5"/>
      <c r="J63" s="5"/>
      <c r="K63" s="5"/>
      <c r="L63" s="8"/>
    </row>
    <row r="64" spans="1:12" ht="12.75">
      <c r="A64" s="1"/>
      <c r="B64" s="1"/>
      <c r="C64" s="1"/>
      <c r="I64" s="5"/>
      <c r="J64" s="5"/>
      <c r="K64" s="5"/>
      <c r="L64" s="8"/>
    </row>
    <row r="65" spans="1:12" ht="12.75">
      <c r="A65" s="1"/>
      <c r="B65" s="1"/>
      <c r="C65" s="1"/>
      <c r="I65" s="5"/>
      <c r="J65" s="5"/>
      <c r="K65" s="5"/>
      <c r="L65" s="8"/>
    </row>
    <row r="66" spans="1:12" ht="12.75">
      <c r="A66" s="1"/>
      <c r="B66" s="1"/>
      <c r="C66" s="1"/>
      <c r="I66" s="5"/>
      <c r="J66" s="5"/>
      <c r="K66" s="5"/>
      <c r="L66" s="8"/>
    </row>
    <row r="67" spans="1:12" ht="12.75">
      <c r="A67" s="1"/>
      <c r="B67" s="1"/>
      <c r="C67" s="1"/>
      <c r="I67" s="5"/>
      <c r="J67" s="5"/>
      <c r="K67" s="5"/>
      <c r="L67" s="8"/>
    </row>
    <row r="68" spans="1:12" ht="12.75">
      <c r="A68" s="1"/>
      <c r="B68" s="1"/>
      <c r="C68" s="1"/>
      <c r="I68" s="5"/>
      <c r="J68" s="5"/>
      <c r="K68" s="5"/>
      <c r="L68" s="8"/>
    </row>
    <row r="69" spans="1:12" ht="12.75">
      <c r="A69" s="1"/>
      <c r="B69" s="1"/>
      <c r="C69" s="1"/>
      <c r="I69" s="5"/>
      <c r="J69" s="5"/>
      <c r="K69" s="5"/>
      <c r="L69" s="8"/>
    </row>
    <row r="70" spans="1:12" ht="12.75">
      <c r="A70" s="1"/>
      <c r="B70" s="1"/>
      <c r="C70" s="1"/>
      <c r="I70" s="5"/>
      <c r="J70" s="5"/>
      <c r="K70" s="5"/>
      <c r="L70" s="8"/>
    </row>
    <row r="71" spans="1:12" ht="12.75">
      <c r="A71" s="1"/>
      <c r="B71" s="1"/>
      <c r="C71" s="1"/>
      <c r="I71" s="5"/>
      <c r="J71" s="5"/>
      <c r="K71" s="5"/>
      <c r="L71" s="8"/>
    </row>
    <row r="72" spans="1:12" ht="12.75">
      <c r="A72" s="1"/>
      <c r="B72" s="1"/>
      <c r="C72" s="1"/>
      <c r="I72" s="5"/>
      <c r="J72" s="5"/>
      <c r="K72" s="5"/>
      <c r="L72" s="8"/>
    </row>
    <row r="73" spans="1:12" ht="12.75">
      <c r="A73" s="1"/>
      <c r="B73" s="1"/>
      <c r="C73" s="1"/>
      <c r="I73" s="5"/>
      <c r="J73" s="5"/>
      <c r="K73" s="5"/>
      <c r="L73" s="8"/>
    </row>
  </sheetData>
  <sheetProtection password="DA8C" sheet="1" objects="1" scenarios="1"/>
  <mergeCells count="18">
    <mergeCell ref="I56:O60"/>
    <mergeCell ref="A13:C13"/>
    <mergeCell ref="F13:L13"/>
    <mergeCell ref="F14:L14"/>
    <mergeCell ref="A20:C20"/>
    <mergeCell ref="F9:L9"/>
    <mergeCell ref="F10:L10"/>
    <mergeCell ref="F11:L11"/>
    <mergeCell ref="A12:C12"/>
    <mergeCell ref="F12:L12"/>
    <mergeCell ref="F5:L5"/>
    <mergeCell ref="F6:L6"/>
    <mergeCell ref="F7:L7"/>
    <mergeCell ref="F8:L8"/>
    <mergeCell ref="A1:C1"/>
    <mergeCell ref="A3:C3"/>
    <mergeCell ref="F3:L3"/>
    <mergeCell ref="F4:L4"/>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E21"/>
  <sheetViews>
    <sheetView workbookViewId="0" topLeftCell="A1">
      <selection activeCell="E4" sqref="E4"/>
    </sheetView>
  </sheetViews>
  <sheetFormatPr defaultColWidth="11.421875" defaultRowHeight="12.75"/>
  <cols>
    <col min="1" max="1" width="64.00390625" style="16" customWidth="1"/>
    <col min="2" max="2" width="10.28125" style="31" customWidth="1"/>
    <col min="3" max="4" width="23.00390625" style="1" customWidth="1"/>
    <col min="5" max="5" width="22.8515625" style="1" customWidth="1"/>
  </cols>
  <sheetData>
    <row r="1" spans="1:5" s="17" customFormat="1" ht="18">
      <c r="A1" s="26"/>
      <c r="B1" s="27"/>
      <c r="C1" s="27" t="s">
        <v>37</v>
      </c>
      <c r="D1" s="27" t="s">
        <v>38</v>
      </c>
      <c r="E1" s="27" t="s">
        <v>39</v>
      </c>
    </row>
    <row r="2" spans="1:5" s="17" customFormat="1" ht="18">
      <c r="A2" s="26"/>
      <c r="B2" s="27"/>
      <c r="C2" s="27"/>
      <c r="D2" s="27"/>
      <c r="E2" s="27"/>
    </row>
    <row r="3" spans="1:5" s="18" customFormat="1" ht="18">
      <c r="A3" s="26" t="s">
        <v>58</v>
      </c>
      <c r="B3" s="27"/>
      <c r="C3" s="28" t="str">
        <f>Anlage1!E3</f>
        <v>Anlage A Kredit</v>
      </c>
      <c r="D3" s="28" t="str">
        <f>Anlage2!$E$3</f>
        <v>Anlage A Cash</v>
      </c>
      <c r="E3" s="28" t="str">
        <f>Anlage3!$E$3</f>
        <v>Anlage B Cash</v>
      </c>
    </row>
    <row r="4" spans="1:5" s="48" customFormat="1" ht="12.75">
      <c r="A4" s="16" t="s">
        <v>80</v>
      </c>
      <c r="B4" s="40" t="s">
        <v>32</v>
      </c>
      <c r="C4" s="31">
        <f>SUM(Anlage1!C24:C44)</f>
        <v>85483</v>
      </c>
      <c r="D4" s="31">
        <f>SUM(Anlage2!C24:C44)</f>
        <v>85483</v>
      </c>
      <c r="E4" s="31">
        <f>SUM(Anlage3!C24:C44)</f>
        <v>96993</v>
      </c>
    </row>
    <row r="5" spans="1:5" s="48" customFormat="1" ht="12.75">
      <c r="A5" s="16" t="s">
        <v>91</v>
      </c>
      <c r="B5" s="40" t="s">
        <v>92</v>
      </c>
      <c r="C5" s="49">
        <f>C4*0.8856</f>
        <v>75703.7448</v>
      </c>
      <c r="D5" s="49">
        <f>D4*0.8856</f>
        <v>75703.7448</v>
      </c>
      <c r="E5" s="49">
        <f>E4*0.8856</f>
        <v>85897.00080000001</v>
      </c>
    </row>
    <row r="6" spans="1:5" s="14" customFormat="1" ht="12.75">
      <c r="A6" s="42" t="s">
        <v>72</v>
      </c>
      <c r="B6" s="43" t="s">
        <v>33</v>
      </c>
      <c r="C6" s="43">
        <f>Anlage1!$E$12</f>
        <v>23000</v>
      </c>
      <c r="D6" s="43">
        <f>Anlage2!$E$12</f>
        <v>23000</v>
      </c>
      <c r="E6" s="43">
        <f>Anlage3!$E$12</f>
        <v>29000</v>
      </c>
    </row>
    <row r="7" spans="1:5" s="14" customFormat="1" ht="12.75">
      <c r="A7" s="42" t="s">
        <v>88</v>
      </c>
      <c r="B7" s="43" t="s">
        <v>33</v>
      </c>
      <c r="C7" s="43">
        <f>Anlage1!$E$13</f>
        <v>10000</v>
      </c>
      <c r="D7" s="43">
        <f>Anlage2!$E$13</f>
        <v>23000</v>
      </c>
      <c r="E7" s="43">
        <f>Anlage3!$E$13</f>
        <v>29000</v>
      </c>
    </row>
    <row r="8" spans="1:5" s="14" customFormat="1" ht="12.75">
      <c r="A8" s="42"/>
      <c r="B8" s="43"/>
      <c r="C8" s="43"/>
      <c r="D8" s="43"/>
      <c r="E8" s="43"/>
    </row>
    <row r="9" spans="1:5" s="18" customFormat="1" ht="18">
      <c r="A9" s="26" t="s">
        <v>82</v>
      </c>
      <c r="B9" s="27" t="s">
        <v>33</v>
      </c>
      <c r="C9" s="29">
        <f>Anlage1!$N$44</f>
        <v>23763.167963301174</v>
      </c>
      <c r="D9" s="29">
        <f>Anlage2!$N$44</f>
        <v>55827.485491686915</v>
      </c>
      <c r="E9" s="29">
        <f>Anlage3!$N$44</f>
        <v>64486.04632055334</v>
      </c>
    </row>
    <row r="10" spans="1:5" s="14" customFormat="1" ht="12.75">
      <c r="A10" s="42" t="s">
        <v>87</v>
      </c>
      <c r="B10" s="43" t="s">
        <v>33</v>
      </c>
      <c r="C10" s="41">
        <f>SUM(Anlage1!L24:L44)</f>
        <v>16720.99481511599</v>
      </c>
      <c r="D10" s="41">
        <f>SUM(Anlage2!L24:L44)</f>
        <v>35455.307125</v>
      </c>
      <c r="E10" s="41">
        <f>SUM(Anlage3!L24:L44)</f>
        <v>40929.093375000004</v>
      </c>
    </row>
    <row r="11" spans="1:5" s="14" customFormat="1" ht="12.75">
      <c r="A11" s="42" t="s">
        <v>86</v>
      </c>
      <c r="B11" s="43" t="s">
        <v>33</v>
      </c>
      <c r="C11" s="41">
        <f>SUM(Anlage1!M24:M44)</f>
        <v>7042.173148185182</v>
      </c>
      <c r="D11" s="41">
        <f>SUM(Anlage2!M24:M44)</f>
        <v>20372.178366686905</v>
      </c>
      <c r="E11" s="41">
        <f>SUM(Anlage3!M24:M44)</f>
        <v>23556.95294555334</v>
      </c>
    </row>
    <row r="12" spans="1:5" s="48" customFormat="1" ht="12.75">
      <c r="A12" s="16" t="s">
        <v>79</v>
      </c>
      <c r="B12" s="40" t="s">
        <v>10</v>
      </c>
      <c r="C12" s="47">
        <f>(C9-Anlage1!$E$13)/21/Anlage1!$E$13*100</f>
        <v>6.553889506333892</v>
      </c>
      <c r="D12" s="47">
        <f>(D9-Anlage2!$E$13)/21/Anlage2!$E$13*100</f>
        <v>6.796580847140148</v>
      </c>
      <c r="E12" s="47">
        <f>(E9-Anlage3!$E$13)/21/Anlage3!$E$13*100</f>
        <v>5.826936998448824</v>
      </c>
    </row>
    <row r="13" spans="1:5" s="14" customFormat="1" ht="12.75">
      <c r="A13" s="44"/>
      <c r="B13" s="43"/>
      <c r="C13" s="46"/>
      <c r="D13" s="46"/>
      <c r="E13" s="46"/>
    </row>
    <row r="14" spans="1:5" s="18" customFormat="1" ht="18">
      <c r="A14" s="26" t="s">
        <v>83</v>
      </c>
      <c r="B14" s="27" t="s">
        <v>33</v>
      </c>
      <c r="C14" s="29">
        <f>Anlage1!$O$44</f>
        <v>23252.26799117778</v>
      </c>
      <c r="D14" s="29">
        <f>Anlage2!$O$44</f>
        <v>53480.21637970889</v>
      </c>
      <c r="E14" s="29">
        <f>Anlage3!$O$44</f>
        <v>67431.57717441555</v>
      </c>
    </row>
    <row r="15" spans="1:5" s="14" customFormat="1" ht="12.75">
      <c r="A15" s="42" t="s">
        <v>84</v>
      </c>
      <c r="B15" s="43" t="s">
        <v>33</v>
      </c>
      <c r="C15" s="43">
        <f>Anlage1!$E$13</f>
        <v>10000</v>
      </c>
      <c r="D15" s="43">
        <f>Anlage2!$E$13</f>
        <v>23000</v>
      </c>
      <c r="E15" s="43">
        <f>Anlage3!$E$13</f>
        <v>29000</v>
      </c>
    </row>
    <row r="16" spans="1:5" s="14" customFormat="1" ht="12.75">
      <c r="A16" s="42" t="s">
        <v>81</v>
      </c>
      <c r="B16" s="43" t="s">
        <v>33</v>
      </c>
      <c r="C16" s="41">
        <f>C14-Anlage1!E13</f>
        <v>13252.267991177781</v>
      </c>
      <c r="D16" s="41">
        <f>D14-Anlage2!E13</f>
        <v>30480.216379708887</v>
      </c>
      <c r="E16" s="41">
        <f>E14-Anlage3!E13</f>
        <v>38431.57717441555</v>
      </c>
    </row>
    <row r="17" spans="1:5" s="14" customFormat="1" ht="12.75">
      <c r="A17" s="44" t="s">
        <v>78</v>
      </c>
      <c r="B17" s="43" t="s">
        <v>33</v>
      </c>
      <c r="C17" s="45">
        <f>SUM(Anlage1!F19:F39)</f>
        <v>6746.249776334135</v>
      </c>
      <c r="D17" s="45">
        <f>SUM(Anlage2!F19:F39)</f>
        <v>0</v>
      </c>
      <c r="E17" s="45">
        <f>SUM(Anlage3!F19:F39)</f>
        <v>0</v>
      </c>
    </row>
    <row r="18" spans="1:5" s="14" customFormat="1" ht="12.75">
      <c r="A18" s="44" t="s">
        <v>85</v>
      </c>
      <c r="B18" s="43" t="s">
        <v>10</v>
      </c>
      <c r="C18" s="46">
        <f>IF(C20&gt;0,(POWER(C9,1/21)-POWER(Anlage1!E13,1/21))/POWER(Anlage1!E13,1/21)*100,0)</f>
        <v>4.207795019424449</v>
      </c>
      <c r="D18" s="46">
        <f>IF(D20&gt;0,(POWER(D9,1/21)-POWER(Anlage2!E13,1/21))/POWER(Anlage2!E13,1/21)*100,0)</f>
        <v>4.31314961858242</v>
      </c>
      <c r="E18" s="46">
        <f>IF(E20&gt;0,(POWER(E9,1/21)-POWER(Anlage3!E13,1/21))/POWER(Anlage3!E13,1/21)*100,0)</f>
        <v>0</v>
      </c>
    </row>
    <row r="19" spans="1:5" s="39" customFormat="1" ht="15">
      <c r="A19" s="36"/>
      <c r="B19" s="37"/>
      <c r="C19" s="38"/>
      <c r="D19" s="38"/>
      <c r="E19" s="38"/>
    </row>
    <row r="20" spans="1:5" s="18" customFormat="1" ht="23.25">
      <c r="A20" s="26" t="s">
        <v>49</v>
      </c>
      <c r="B20" s="27" t="s">
        <v>33</v>
      </c>
      <c r="C20" s="30">
        <f>C9-C14</f>
        <v>510.8999721233922</v>
      </c>
      <c r="D20" s="30">
        <f>D9-D14</f>
        <v>2347.2691119780284</v>
      </c>
      <c r="E20" s="30">
        <f>E9-E14</f>
        <v>-2945.530853862212</v>
      </c>
    </row>
    <row r="21" spans="1:5" s="18" customFormat="1" ht="15" customHeight="1">
      <c r="A21" s="33"/>
      <c r="B21" s="34"/>
      <c r="C21" s="35"/>
      <c r="D21" s="35"/>
      <c r="E21" s="35"/>
    </row>
  </sheetData>
  <sheetProtection password="DA8C" sheet="1" objects="1" scenarios="1" selectLockedCells="1"/>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cn3gos00</cp:lastModifiedBy>
  <dcterms:created xsi:type="dcterms:W3CDTF">1996-10-14T23:33:28Z</dcterms:created>
  <dcterms:modified xsi:type="dcterms:W3CDTF">2008-05-25T08:02:38Z</dcterms:modified>
  <cp:category/>
  <cp:version/>
  <cp:contentType/>
  <cp:contentStatus/>
</cp:coreProperties>
</file>